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codeName="ThisWorkbook" checkCompatibility="1" defaultThemeVersion="166925"/>
  <mc:AlternateContent xmlns:mc="http://schemas.openxmlformats.org/markup-compatibility/2006">
    <mc:Choice Requires="x15">
      <x15ac:absPath xmlns:x15ac="http://schemas.microsoft.com/office/spreadsheetml/2010/11/ac" url="C:\Users\ljones\Dropbox (DataRay Inc.)\Technical\Loren\Documents\New Spreadsheets For Website\"/>
    </mc:Choice>
  </mc:AlternateContent>
  <xr:revisionPtr revIDLastSave="0" documentId="13_ncr:1_{92B788AD-01B2-4D28-B96F-6029170CBACB}" xr6:coauthVersionLast="45" xr6:coauthVersionMax="45" xr10:uidLastSave="{00000000-0000-0000-0000-000000000000}"/>
  <bookViews>
    <workbookView xWindow="1020" yWindow="1020" windowWidth="31850" windowHeight="18620" xr2:uid="{8C225F06-A431-4629-B0C6-5A7C52FDC1E9}"/>
  </bookViews>
  <sheets>
    <sheet name="M2DU Measurement" sheetId="1" r:id="rId1"/>
    <sheet name="Sheet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1" l="1"/>
  <c r="S18" i="1" l="1"/>
  <c r="S17" i="1"/>
  <c r="I66" i="2"/>
  <c r="I55" i="2"/>
  <c r="H66" i="2"/>
  <c r="H55" i="2"/>
  <c r="G66" i="2"/>
  <c r="C66" i="2"/>
  <c r="D66" i="2"/>
  <c r="E66" i="2"/>
  <c r="G55" i="2"/>
  <c r="F65" i="2"/>
  <c r="E55" i="2"/>
  <c r="D55" i="2"/>
  <c r="C55" i="2"/>
  <c r="C65" i="2"/>
  <c r="H65" i="2" l="1"/>
  <c r="D65" i="2"/>
  <c r="E65" i="2"/>
  <c r="G65" i="2"/>
  <c r="I65" i="2"/>
  <c r="C64" i="2"/>
  <c r="S16" i="1"/>
  <c r="I64" i="2"/>
  <c r="H64" i="2"/>
  <c r="G64" i="2"/>
  <c r="F64" i="2"/>
  <c r="E64" i="2" s="1"/>
  <c r="F63" i="2"/>
  <c r="E63" i="2"/>
  <c r="D64" i="2"/>
  <c r="C63" i="2"/>
  <c r="C57" i="2"/>
  <c r="S26" i="1" l="1"/>
  <c r="S27" i="1"/>
  <c r="S28" i="1"/>
  <c r="B70" i="1"/>
  <c r="B71" i="1"/>
  <c r="B72" i="1"/>
  <c r="B73" i="1"/>
  <c r="B74" i="1"/>
  <c r="B75" i="1"/>
  <c r="B76" i="1"/>
  <c r="B77" i="1"/>
  <c r="B78" i="1"/>
  <c r="B79" i="1"/>
  <c r="B80" i="1"/>
  <c r="B81" i="1"/>
  <c r="B82" i="1"/>
  <c r="B83" i="1"/>
  <c r="B68" i="1"/>
  <c r="D68" i="1"/>
  <c r="E68" i="1"/>
  <c r="F68" i="1"/>
  <c r="G68" i="1"/>
  <c r="H68" i="1"/>
  <c r="I68" i="1"/>
  <c r="J68" i="1"/>
  <c r="K68" i="1"/>
  <c r="L68" i="1"/>
  <c r="M68" i="1"/>
  <c r="N68" i="1"/>
  <c r="O68" i="1"/>
  <c r="P68" i="1"/>
  <c r="Q68" i="1"/>
  <c r="R71" i="1"/>
  <c r="B69" i="1"/>
  <c r="C69" i="1"/>
  <c r="D69" i="1"/>
  <c r="E69" i="1"/>
  <c r="F69" i="1"/>
  <c r="G69" i="1"/>
  <c r="H69" i="1"/>
  <c r="I69" i="1"/>
  <c r="J69" i="1"/>
  <c r="K69" i="1"/>
  <c r="L69" i="1"/>
  <c r="M69" i="1"/>
  <c r="N69" i="1"/>
  <c r="O69" i="1"/>
  <c r="P69" i="1"/>
  <c r="Q69" i="1"/>
  <c r="R72" i="1"/>
  <c r="C70" i="1"/>
  <c r="D70" i="1"/>
  <c r="K70" i="1"/>
  <c r="C71" i="1"/>
  <c r="D71" i="1"/>
  <c r="K71" i="1"/>
  <c r="L71" i="1"/>
  <c r="M71" i="1"/>
  <c r="N71" i="1"/>
  <c r="O71" i="1"/>
  <c r="P71" i="1"/>
  <c r="Q71" i="1"/>
  <c r="R74" i="1"/>
  <c r="C72" i="1"/>
  <c r="D72" i="1"/>
  <c r="E72" i="1"/>
  <c r="F72" i="1"/>
  <c r="G72" i="1"/>
  <c r="H72" i="1"/>
  <c r="K72" i="1"/>
  <c r="L72" i="1"/>
  <c r="M72" i="1"/>
  <c r="N72" i="1"/>
  <c r="O72" i="1"/>
  <c r="P72" i="1"/>
  <c r="Q72" i="1"/>
  <c r="R75" i="1"/>
  <c r="C73" i="1"/>
  <c r="D73" i="1"/>
  <c r="E73" i="1"/>
  <c r="F73" i="1"/>
  <c r="G73" i="1"/>
  <c r="H73" i="1"/>
  <c r="K73" i="1"/>
  <c r="L73" i="1"/>
  <c r="M73" i="1"/>
  <c r="N73" i="1"/>
  <c r="O73" i="1"/>
  <c r="P73" i="1"/>
  <c r="Q73" i="1"/>
  <c r="R76" i="1"/>
  <c r="C74" i="1"/>
  <c r="D74" i="1"/>
  <c r="E74" i="1"/>
  <c r="F74" i="1"/>
  <c r="G74" i="1"/>
  <c r="H74" i="1"/>
  <c r="K74" i="1"/>
  <c r="L74" i="1"/>
  <c r="M74" i="1"/>
  <c r="N74" i="1"/>
  <c r="O74" i="1"/>
  <c r="P74" i="1"/>
  <c r="Q74" i="1"/>
  <c r="R77" i="1"/>
  <c r="C75" i="1"/>
  <c r="D75" i="1"/>
  <c r="E75" i="1"/>
  <c r="F75" i="1"/>
  <c r="G75" i="1"/>
  <c r="H75" i="1"/>
  <c r="K75" i="1"/>
  <c r="L75" i="1"/>
  <c r="M75" i="1"/>
  <c r="N75" i="1"/>
  <c r="O75" i="1"/>
  <c r="P75" i="1"/>
  <c r="Q75" i="1"/>
  <c r="R78" i="1"/>
  <c r="C76" i="1"/>
  <c r="D76" i="1"/>
  <c r="E76" i="1"/>
  <c r="F76" i="1"/>
  <c r="G76" i="1"/>
  <c r="H76" i="1"/>
  <c r="K76" i="1"/>
  <c r="L76" i="1"/>
  <c r="M76" i="1"/>
  <c r="N76" i="1"/>
  <c r="O76" i="1"/>
  <c r="P76" i="1"/>
  <c r="Q76" i="1"/>
  <c r="R79" i="1"/>
  <c r="C77" i="1"/>
  <c r="D77" i="1"/>
  <c r="E77" i="1"/>
  <c r="F77" i="1"/>
  <c r="G77" i="1"/>
  <c r="H77" i="1"/>
  <c r="K77" i="1"/>
  <c r="L77" i="1"/>
  <c r="M77" i="1"/>
  <c r="N77" i="1"/>
  <c r="O77" i="1"/>
  <c r="P77" i="1"/>
  <c r="Q77" i="1"/>
  <c r="R80" i="1"/>
  <c r="C78" i="1"/>
  <c r="D78" i="1"/>
  <c r="E78" i="1"/>
  <c r="F78" i="1"/>
  <c r="G78" i="1"/>
  <c r="H78" i="1"/>
  <c r="K78" i="1"/>
  <c r="L78" i="1"/>
  <c r="M78" i="1"/>
  <c r="N78" i="1"/>
  <c r="O78" i="1"/>
  <c r="P78" i="1"/>
  <c r="Q78" i="1"/>
  <c r="R81" i="1"/>
  <c r="C79" i="1"/>
  <c r="D79" i="1"/>
  <c r="E79" i="1"/>
  <c r="F79" i="1"/>
  <c r="G79" i="1"/>
  <c r="H79" i="1"/>
  <c r="J79" i="1"/>
  <c r="K79" i="1"/>
  <c r="L79" i="1"/>
  <c r="M79" i="1"/>
  <c r="N79" i="1"/>
  <c r="O79" i="1"/>
  <c r="P79" i="1"/>
  <c r="Q79" i="1"/>
  <c r="R82" i="1"/>
  <c r="C80" i="1"/>
  <c r="D80" i="1"/>
  <c r="E80" i="1"/>
  <c r="F80" i="1"/>
  <c r="G80" i="1"/>
  <c r="H80" i="1"/>
  <c r="I80" i="1"/>
  <c r="J80" i="1"/>
  <c r="K80" i="1"/>
  <c r="L80" i="1"/>
  <c r="M80" i="1"/>
  <c r="N80" i="1"/>
  <c r="O80" i="1"/>
  <c r="P80" i="1"/>
  <c r="Q80" i="1"/>
  <c r="R83" i="1"/>
  <c r="C81" i="1"/>
  <c r="D81" i="1"/>
  <c r="E81" i="1"/>
  <c r="F81" i="1"/>
  <c r="G81" i="1"/>
  <c r="H81" i="1"/>
  <c r="I81" i="1"/>
  <c r="J81" i="1"/>
  <c r="K81" i="1"/>
  <c r="L81" i="1"/>
  <c r="M81" i="1"/>
  <c r="N81" i="1"/>
  <c r="O81" i="1"/>
  <c r="P81" i="1"/>
  <c r="Q81" i="1"/>
  <c r="R84" i="1"/>
  <c r="C82" i="1"/>
  <c r="D82" i="1"/>
  <c r="E82" i="1"/>
  <c r="F82" i="1"/>
  <c r="G82" i="1"/>
  <c r="H82" i="1"/>
  <c r="I82" i="1"/>
  <c r="J82" i="1"/>
  <c r="K82" i="1"/>
  <c r="L82" i="1"/>
  <c r="M82" i="1"/>
  <c r="N82" i="1"/>
  <c r="O82" i="1"/>
  <c r="P82" i="1"/>
  <c r="Q82" i="1"/>
  <c r="R85" i="1"/>
  <c r="C83" i="1"/>
  <c r="D83" i="1"/>
  <c r="E83" i="1"/>
  <c r="F83" i="1"/>
  <c r="G83" i="1"/>
  <c r="H83" i="1"/>
  <c r="I83" i="1"/>
  <c r="J83" i="1"/>
  <c r="K83" i="1"/>
  <c r="L83" i="1"/>
  <c r="M83" i="1"/>
  <c r="N83" i="1"/>
  <c r="O83" i="1"/>
  <c r="P83" i="1"/>
  <c r="Q83" i="1"/>
  <c r="R86" i="1"/>
  <c r="B84" i="1"/>
  <c r="C84" i="1"/>
  <c r="D84" i="1"/>
  <c r="E84" i="1"/>
  <c r="F84" i="1"/>
  <c r="G84" i="1"/>
  <c r="H84" i="1"/>
  <c r="I84" i="1"/>
  <c r="J84" i="1"/>
  <c r="K84" i="1"/>
  <c r="L84" i="1"/>
  <c r="M84" i="1"/>
  <c r="N84" i="1"/>
  <c r="O84" i="1"/>
  <c r="P84" i="1"/>
  <c r="Q84" i="1"/>
  <c r="R87" i="1"/>
  <c r="B85" i="1"/>
  <c r="C85" i="1"/>
  <c r="D85" i="1"/>
  <c r="F85" i="1"/>
  <c r="H85" i="1"/>
  <c r="I85" i="1"/>
  <c r="J85" i="1"/>
  <c r="K85" i="1"/>
  <c r="L85" i="1"/>
  <c r="M85" i="1"/>
  <c r="N85" i="1"/>
  <c r="O85" i="1"/>
  <c r="P85" i="1"/>
  <c r="Q85" i="1"/>
  <c r="R88" i="1"/>
  <c r="B86" i="1"/>
  <c r="C86" i="1"/>
  <c r="D86" i="1"/>
  <c r="F86" i="1"/>
  <c r="H86" i="1"/>
  <c r="I86" i="1"/>
  <c r="J86" i="1"/>
  <c r="K86" i="1"/>
  <c r="L86" i="1"/>
  <c r="M86" i="1"/>
  <c r="N86" i="1"/>
  <c r="O86" i="1"/>
  <c r="P86" i="1"/>
  <c r="Q86" i="1"/>
  <c r="R89" i="1"/>
  <c r="B87" i="1"/>
  <c r="C87" i="1"/>
  <c r="D87" i="1"/>
  <c r="F87" i="1"/>
  <c r="H87" i="1"/>
  <c r="I87" i="1"/>
  <c r="J87" i="1"/>
  <c r="K87" i="1"/>
  <c r="L87" i="1"/>
  <c r="M87" i="1"/>
  <c r="N87" i="1"/>
  <c r="O87" i="1"/>
  <c r="P87" i="1"/>
  <c r="Q87" i="1"/>
  <c r="R90" i="1"/>
  <c r="B88" i="1"/>
  <c r="C88" i="1"/>
  <c r="D88" i="1"/>
  <c r="F88" i="1"/>
  <c r="H88" i="1"/>
  <c r="I88" i="1"/>
  <c r="J88" i="1"/>
  <c r="K88" i="1"/>
  <c r="L88" i="1"/>
  <c r="M88" i="1"/>
  <c r="N88" i="1"/>
  <c r="O88" i="1"/>
  <c r="P88" i="1"/>
  <c r="Q88" i="1"/>
  <c r="R91" i="1"/>
  <c r="B89" i="1"/>
  <c r="C89" i="1"/>
  <c r="D89" i="1"/>
  <c r="F89" i="1"/>
  <c r="H89" i="1"/>
  <c r="I89" i="1"/>
  <c r="J89" i="1"/>
  <c r="K89" i="1"/>
  <c r="L89" i="1"/>
  <c r="M89" i="1"/>
  <c r="N89" i="1"/>
  <c r="O89" i="1"/>
  <c r="P89" i="1"/>
  <c r="Q89" i="1"/>
  <c r="R92" i="1"/>
  <c r="B90" i="1"/>
  <c r="C90" i="1"/>
  <c r="D90" i="1"/>
  <c r="F90" i="1"/>
  <c r="H90" i="1"/>
  <c r="I90" i="1"/>
  <c r="J90" i="1"/>
  <c r="K90" i="1"/>
  <c r="L90" i="1"/>
  <c r="M90" i="1"/>
  <c r="N90" i="1"/>
  <c r="O90" i="1"/>
  <c r="P90" i="1"/>
  <c r="Q90" i="1"/>
  <c r="R93" i="1"/>
  <c r="B91" i="1"/>
  <c r="C91" i="1"/>
  <c r="D91" i="1"/>
  <c r="F91" i="1"/>
  <c r="G91" i="1"/>
  <c r="H91" i="1"/>
  <c r="I91" i="1"/>
  <c r="J91" i="1"/>
  <c r="K91" i="1"/>
  <c r="L91" i="1"/>
  <c r="M91" i="1"/>
  <c r="N91" i="1"/>
  <c r="O91" i="1"/>
  <c r="P91" i="1"/>
  <c r="Q91" i="1"/>
  <c r="R94" i="1"/>
  <c r="B92" i="1"/>
  <c r="C92" i="1"/>
  <c r="D92" i="1"/>
  <c r="H92" i="1"/>
  <c r="I92" i="1"/>
  <c r="J92" i="1"/>
  <c r="K92" i="1"/>
  <c r="L92" i="1"/>
  <c r="M92" i="1"/>
  <c r="N92" i="1"/>
  <c r="O92" i="1"/>
  <c r="P92" i="1"/>
  <c r="Q92" i="1"/>
  <c r="R95" i="1"/>
  <c r="B93" i="1"/>
  <c r="C93" i="1"/>
  <c r="D93" i="1"/>
  <c r="E93" i="1"/>
  <c r="G93" i="1"/>
  <c r="H93" i="1"/>
  <c r="I93" i="1"/>
  <c r="J93" i="1"/>
  <c r="K93" i="1"/>
  <c r="L93" i="1"/>
  <c r="M93" i="1"/>
  <c r="N93" i="1"/>
  <c r="O93" i="1"/>
  <c r="P93" i="1"/>
  <c r="Q93" i="1"/>
  <c r="R96" i="1"/>
  <c r="B94" i="1"/>
  <c r="C94" i="1"/>
  <c r="D94" i="1"/>
  <c r="E94" i="1"/>
  <c r="F94" i="1"/>
  <c r="G94" i="1"/>
  <c r="H94" i="1"/>
  <c r="I94" i="1"/>
  <c r="J94" i="1"/>
  <c r="K94" i="1"/>
  <c r="L94" i="1"/>
  <c r="M94" i="1"/>
  <c r="N94" i="1"/>
  <c r="O94" i="1"/>
  <c r="P94" i="1"/>
  <c r="Q94" i="1"/>
  <c r="R97" i="1"/>
  <c r="B95" i="1"/>
  <c r="C95" i="1"/>
  <c r="D95" i="1"/>
  <c r="E95" i="1"/>
  <c r="F95" i="1"/>
  <c r="I95" i="1"/>
  <c r="J95" i="1"/>
  <c r="K95" i="1"/>
  <c r="L95" i="1"/>
  <c r="M95" i="1"/>
  <c r="N95" i="1"/>
  <c r="O95" i="1"/>
  <c r="P95" i="1"/>
  <c r="Q95" i="1"/>
  <c r="R98" i="1"/>
  <c r="S22" i="1"/>
  <c r="S21" i="1"/>
  <c r="S20" i="1"/>
  <c r="S19" i="1"/>
  <c r="S15" i="1"/>
  <c r="S8" i="1"/>
  <c r="S9" i="1"/>
  <c r="S10" i="1"/>
  <c r="S11" i="1"/>
  <c r="S12" i="1"/>
  <c r="S13" i="1"/>
  <c r="S14" i="1"/>
  <c r="S7" i="1"/>
  <c r="S6" i="1"/>
  <c r="S4" i="1"/>
  <c r="R73" i="2" l="1"/>
  <c r="R73" i="1" s="1"/>
  <c r="Q73" i="2"/>
  <c r="Q70" i="1" s="1"/>
  <c r="P73" i="2"/>
  <c r="P70" i="1" s="1"/>
  <c r="O73" i="2"/>
  <c r="O70" i="1" s="1"/>
  <c r="N73" i="2"/>
  <c r="N70" i="1" s="1"/>
  <c r="M73" i="2"/>
  <c r="M70" i="1" s="1"/>
  <c r="L73" i="2"/>
  <c r="L70" i="1" s="1"/>
  <c r="F23" i="1" l="1"/>
  <c r="E11" i="1" l="1"/>
  <c r="F73" i="2" l="1"/>
  <c r="F70" i="1" s="1"/>
  <c r="G73" i="2"/>
  <c r="G70" i="1" s="1"/>
  <c r="H73" i="2"/>
  <c r="H70" i="1" s="1"/>
  <c r="I73" i="2"/>
  <c r="I70" i="1" s="1"/>
  <c r="J73" i="2"/>
  <c r="J70" i="1" s="1"/>
  <c r="E73" i="2"/>
  <c r="E70" i="1" l="1"/>
  <c r="S23" i="1"/>
  <c r="I61" i="2"/>
  <c r="I62" i="2"/>
  <c r="I63" i="2"/>
  <c r="I60" i="2" l="1"/>
  <c r="I59" i="2"/>
  <c r="I58" i="2"/>
  <c r="I57" i="2"/>
  <c r="I56" i="2"/>
  <c r="I67" i="2" l="1"/>
  <c r="G21" i="1" s="1"/>
  <c r="F62" i="2"/>
  <c r="C10" i="2" l="1"/>
  <c r="G63" i="2" l="1"/>
  <c r="G62" i="2"/>
  <c r="G61" i="2"/>
  <c r="G56" i="2"/>
  <c r="G57" i="2"/>
  <c r="G58" i="2"/>
  <c r="G59" i="2"/>
  <c r="G60" i="2"/>
  <c r="H63" i="2"/>
  <c r="H62" i="2"/>
  <c r="H61" i="2"/>
  <c r="H56" i="2"/>
  <c r="H57" i="2"/>
  <c r="H58" i="2"/>
  <c r="H59" i="2"/>
  <c r="H60" i="2"/>
  <c r="H67" i="2" l="1"/>
  <c r="G67" i="2"/>
  <c r="E89" i="2"/>
  <c r="E86" i="1" s="1"/>
  <c r="E90" i="2"/>
  <c r="E87" i="1" s="1"/>
  <c r="E91" i="2"/>
  <c r="E88" i="1" s="1"/>
  <c r="E92" i="2"/>
  <c r="E89" i="1" s="1"/>
  <c r="E93" i="2"/>
  <c r="E90" i="1" s="1"/>
  <c r="E88" i="2"/>
  <c r="E85" i="1" s="1"/>
  <c r="C62" i="2"/>
  <c r="C61" i="2"/>
  <c r="C60" i="2"/>
  <c r="C59" i="2"/>
  <c r="C58" i="2"/>
  <c r="C56" i="2"/>
  <c r="C67" i="2" l="1"/>
  <c r="E94" i="2"/>
  <c r="A35" i="2"/>
  <c r="C35" i="2" s="1"/>
  <c r="B7" i="2"/>
  <c r="B6" i="2"/>
  <c r="E95" i="2" l="1"/>
  <c r="E91" i="1"/>
  <c r="B35" i="2"/>
  <c r="S2" i="2"/>
  <c r="S3" i="2"/>
  <c r="S4" i="2"/>
  <c r="S5" i="2"/>
  <c r="S6" i="2"/>
  <c r="S7" i="2"/>
  <c r="S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F95" i="2" l="1"/>
  <c r="F92" i="1" s="1"/>
  <c r="E92" i="1"/>
  <c r="E56" i="2"/>
  <c r="E57" i="2"/>
  <c r="E58" i="2"/>
  <c r="E59" i="2"/>
  <c r="E60" i="2"/>
  <c r="E61" i="2"/>
  <c r="E62" i="2"/>
  <c r="D63" i="2"/>
  <c r="D62" i="2"/>
  <c r="D61" i="2"/>
  <c r="D60" i="2"/>
  <c r="D59" i="2"/>
  <c r="D57" i="2"/>
  <c r="D58" i="2"/>
  <c r="D56" i="2"/>
  <c r="E67" i="2" l="1"/>
  <c r="D67" i="2"/>
  <c r="Z22" i="2" s="1"/>
  <c r="I3" i="1"/>
  <c r="G3" i="1" s="1"/>
  <c r="G4" i="1" l="1"/>
  <c r="G6" i="1" s="1"/>
  <c r="G7" i="1" s="1"/>
  <c r="I8" i="1" s="1"/>
  <c r="Z55" i="2"/>
  <c r="Z32" i="2"/>
  <c r="Z10" i="2"/>
  <c r="Z2" i="2"/>
  <c r="Z7" i="2"/>
  <c r="Z36" i="2"/>
  <c r="G13" i="1"/>
  <c r="Z54" i="2"/>
  <c r="Z39" i="2"/>
  <c r="Z12" i="2"/>
  <c r="Z4" i="2"/>
  <c r="Z59" i="2"/>
  <c r="Z19" i="2"/>
  <c r="Z52" i="2"/>
  <c r="Z42" i="2"/>
  <c r="Z3" i="2"/>
  <c r="Z35" i="2"/>
  <c r="Z45" i="2"/>
  <c r="Z6" i="2"/>
  <c r="Z62" i="2"/>
  <c r="Z49" i="2"/>
  <c r="Z23" i="2"/>
  <c r="Z18" i="2"/>
  <c r="Z5" i="2"/>
  <c r="Z15" i="2"/>
  <c r="Z57" i="2"/>
  <c r="Z61" i="2"/>
  <c r="Z33" i="2"/>
  <c r="Z53" i="2"/>
  <c r="Z50" i="2"/>
  <c r="Z37" i="2"/>
  <c r="Z11" i="2"/>
  <c r="Z31" i="2"/>
  <c r="Z20" i="2"/>
  <c r="Z51" i="2"/>
  <c r="Z30" i="2"/>
  <c r="Z24" i="2"/>
  <c r="Z8" i="2"/>
  <c r="Z29" i="2"/>
  <c r="Z27" i="2"/>
  <c r="Z47" i="2"/>
  <c r="Z21" i="2"/>
  <c r="Z17" i="2"/>
  <c r="Z38" i="2"/>
  <c r="Z25" i="2"/>
  <c r="Z58" i="2"/>
  <c r="Z41" i="2"/>
  <c r="Z9" i="2"/>
  <c r="Z40" i="2"/>
  <c r="Z26" i="2"/>
  <c r="Z13" i="2"/>
  <c r="Z46" i="2"/>
  <c r="Z56" i="2"/>
  <c r="Z28" i="2"/>
  <c r="Z14" i="2"/>
  <c r="Z60" i="2"/>
  <c r="Z34" i="2"/>
  <c r="Z44" i="2"/>
  <c r="Z16" i="2"/>
  <c r="Z43" i="2"/>
  <c r="Z48" i="2"/>
  <c r="G9" i="1" l="1"/>
  <c r="G10" i="1"/>
  <c r="G8" i="1"/>
  <c r="C11" i="2"/>
  <c r="A32" i="2" l="1"/>
  <c r="C32" i="2" s="1"/>
  <c r="B10" i="1"/>
  <c r="K2" i="2"/>
  <c r="B32" i="2" l="1"/>
  <c r="L2" i="2"/>
  <c r="N2" i="2" s="1"/>
  <c r="O2" i="2" s="1"/>
  <c r="Q2" i="2"/>
  <c r="I22" i="1" l="1"/>
  <c r="G22" i="1" s="1"/>
  <c r="G12" i="1"/>
  <c r="C71" i="2" s="1"/>
  <c r="F96" i="2" l="1"/>
  <c r="C68" i="1"/>
  <c r="G91" i="2"/>
  <c r="G88" i="1" s="1"/>
  <c r="G90" i="2"/>
  <c r="G87" i="1" s="1"/>
  <c r="G89" i="2"/>
  <c r="G86" i="1" s="1"/>
  <c r="G93" i="2"/>
  <c r="G90" i="1" s="1"/>
  <c r="G92" i="2"/>
  <c r="G89" i="1" s="1"/>
  <c r="G88" i="2"/>
  <c r="G85" i="1" s="1"/>
  <c r="I81" i="2"/>
  <c r="I78" i="1" s="1"/>
  <c r="I77" i="2"/>
  <c r="I74" i="1" s="1"/>
  <c r="I76" i="2"/>
  <c r="I73" i="1" s="1"/>
  <c r="J79" i="2"/>
  <c r="J76" i="1" s="1"/>
  <c r="G74" i="2"/>
  <c r="G71" i="1" s="1"/>
  <c r="I82" i="2"/>
  <c r="I79" i="1" s="1"/>
  <c r="I80" i="2"/>
  <c r="I77" i="1" s="1"/>
  <c r="J76" i="2"/>
  <c r="J73" i="1" s="1"/>
  <c r="J77" i="2"/>
  <c r="J74" i="1" s="1"/>
  <c r="I75" i="2"/>
  <c r="I72" i="1" s="1"/>
  <c r="I74" i="2"/>
  <c r="I71" i="1" s="1"/>
  <c r="J80" i="2"/>
  <c r="J77" i="1" s="1"/>
  <c r="F74" i="2"/>
  <c r="F71" i="1" s="1"/>
  <c r="J74" i="2"/>
  <c r="J71" i="1" s="1"/>
  <c r="I79" i="2"/>
  <c r="I76" i="1" s="1"/>
  <c r="I78" i="2"/>
  <c r="I75" i="1" s="1"/>
  <c r="J78" i="2"/>
  <c r="J75" i="1" s="1"/>
  <c r="H74" i="2"/>
  <c r="H71" i="1" s="1"/>
  <c r="J81" i="2"/>
  <c r="J78" i="1" s="1"/>
  <c r="E74" i="2"/>
  <c r="E71" i="1" s="1"/>
  <c r="J75" i="2"/>
  <c r="J72" i="1" s="1"/>
  <c r="B20" i="1"/>
  <c r="G23" i="1"/>
  <c r="G19" i="1"/>
  <c r="P2" i="2"/>
  <c r="S24" i="1" l="1"/>
  <c r="F93" i="1"/>
  <c r="G95" i="2"/>
  <c r="G92" i="1" s="1"/>
  <c r="G11" i="1"/>
  <c r="AB71" i="2"/>
  <c r="AB62" i="2" s="1"/>
  <c r="K30" i="2"/>
  <c r="L30" i="2" s="1"/>
  <c r="K51" i="2"/>
  <c r="L51" i="2" s="1"/>
  <c r="K31" i="2"/>
  <c r="L31" i="2" s="1"/>
  <c r="K20" i="2"/>
  <c r="L20" i="2" s="1"/>
  <c r="K23" i="2"/>
  <c r="L23" i="2" s="1"/>
  <c r="K5" i="2"/>
  <c r="L5" i="2" s="1"/>
  <c r="K43" i="2"/>
  <c r="L43" i="2" s="1"/>
  <c r="K27" i="2"/>
  <c r="L27" i="2" s="1"/>
  <c r="K8" i="2"/>
  <c r="L8" i="2" s="1"/>
  <c r="K38" i="2"/>
  <c r="L38" i="2" s="1"/>
  <c r="K19" i="2"/>
  <c r="L19" i="2" s="1"/>
  <c r="K26" i="2"/>
  <c r="L26" i="2" s="1"/>
  <c r="K41" i="2"/>
  <c r="L41" i="2" s="1"/>
  <c r="K46" i="2"/>
  <c r="L46" i="2" s="1"/>
  <c r="K62" i="2"/>
  <c r="L62" i="2" s="1"/>
  <c r="K4" i="2"/>
  <c r="L4" i="2" s="1"/>
  <c r="K18" i="2"/>
  <c r="L18" i="2" s="1"/>
  <c r="K50" i="2"/>
  <c r="L50" i="2" s="1"/>
  <c r="K42" i="2"/>
  <c r="L42" i="2" s="1"/>
  <c r="K29" i="2"/>
  <c r="L29" i="2" s="1"/>
  <c r="K49" i="2"/>
  <c r="L49" i="2" s="1"/>
  <c r="K61" i="2"/>
  <c r="L61" i="2" s="1"/>
  <c r="AB68" i="2"/>
  <c r="AB2" i="2" s="1"/>
  <c r="K40" i="2"/>
  <c r="L40" i="2" s="1"/>
  <c r="K54" i="2"/>
  <c r="L54" i="2" s="1"/>
  <c r="K56" i="2"/>
  <c r="L56" i="2" s="1"/>
  <c r="K44" i="2"/>
  <c r="L44" i="2" s="1"/>
  <c r="K7" i="2"/>
  <c r="L7" i="2" s="1"/>
  <c r="K21" i="2"/>
  <c r="L21" i="2" s="1"/>
  <c r="K60" i="2"/>
  <c r="L60" i="2" s="1"/>
  <c r="K13" i="2"/>
  <c r="L13" i="2" s="1"/>
  <c r="K17" i="2"/>
  <c r="L17" i="2" s="1"/>
  <c r="K48" i="2"/>
  <c r="L48" i="2" s="1"/>
  <c r="K58" i="2"/>
  <c r="L58" i="2" s="1"/>
  <c r="K35" i="2"/>
  <c r="L35" i="2" s="1"/>
  <c r="M35" i="2" s="1"/>
  <c r="K37" i="2"/>
  <c r="L37" i="2" s="1"/>
  <c r="K32" i="2"/>
  <c r="L32" i="2" s="1"/>
  <c r="K11" i="2"/>
  <c r="L11" i="2" s="1"/>
  <c r="K9" i="2"/>
  <c r="L9" i="2" s="1"/>
  <c r="M2" i="2"/>
  <c r="K25" i="2"/>
  <c r="L25" i="2" s="1"/>
  <c r="K24" i="2"/>
  <c r="L24" i="2" s="1"/>
  <c r="K14" i="2"/>
  <c r="L14" i="2" s="1"/>
  <c r="K12" i="2"/>
  <c r="L12" i="2" s="1"/>
  <c r="K22" i="2"/>
  <c r="L22" i="2" s="1"/>
  <c r="K28" i="2"/>
  <c r="L28" i="2" s="1"/>
  <c r="K52" i="2"/>
  <c r="L52" i="2" s="1"/>
  <c r="K3" i="2"/>
  <c r="L3" i="2" s="1"/>
  <c r="N3" i="2" s="1"/>
  <c r="K15" i="2"/>
  <c r="L15" i="2" s="1"/>
  <c r="K16" i="2"/>
  <c r="L16" i="2" s="1"/>
  <c r="K36" i="2"/>
  <c r="L36" i="2" s="1"/>
  <c r="K57" i="2"/>
  <c r="L57" i="2" s="1"/>
  <c r="K10" i="2"/>
  <c r="L10" i="2" s="1"/>
  <c r="K45" i="2"/>
  <c r="L45" i="2" s="1"/>
  <c r="K33" i="2"/>
  <c r="L33" i="2" s="1"/>
  <c r="K47" i="2"/>
  <c r="L47" i="2" s="1"/>
  <c r="K55" i="2"/>
  <c r="L55" i="2" s="1"/>
  <c r="K53" i="2"/>
  <c r="L53" i="2" s="1"/>
  <c r="K39" i="2"/>
  <c r="L39" i="2" s="1"/>
  <c r="K59" i="2"/>
  <c r="L59" i="2" s="1"/>
  <c r="K6" i="2"/>
  <c r="L6" i="2" s="1"/>
  <c r="K34" i="2"/>
  <c r="L34" i="2" s="1"/>
  <c r="H98" i="2" l="1"/>
  <c r="H95" i="1" s="1"/>
  <c r="S25" i="1"/>
  <c r="N35" i="2"/>
  <c r="P35" i="2" s="1"/>
  <c r="M53" i="2"/>
  <c r="N53" i="2"/>
  <c r="M28" i="2"/>
  <c r="N28" i="2"/>
  <c r="M58" i="2"/>
  <c r="N58" i="2"/>
  <c r="M61" i="2"/>
  <c r="N61" i="2"/>
  <c r="M38" i="2"/>
  <c r="N38" i="2"/>
  <c r="M47" i="2"/>
  <c r="N47" i="2"/>
  <c r="M12" i="2"/>
  <c r="N12" i="2"/>
  <c r="M17" i="2"/>
  <c r="N17" i="2"/>
  <c r="M29" i="2"/>
  <c r="N29" i="2"/>
  <c r="M27" i="2"/>
  <c r="N27" i="2"/>
  <c r="M33" i="2"/>
  <c r="N33" i="2"/>
  <c r="M14" i="2"/>
  <c r="N14" i="2"/>
  <c r="M13" i="2"/>
  <c r="N13" i="2"/>
  <c r="M42" i="2"/>
  <c r="N42" i="2"/>
  <c r="M43" i="2"/>
  <c r="N43" i="2"/>
  <c r="M45" i="2"/>
  <c r="N45" i="2"/>
  <c r="M24" i="2"/>
  <c r="N24" i="2"/>
  <c r="M60" i="2"/>
  <c r="N60" i="2"/>
  <c r="M50" i="2"/>
  <c r="N50" i="2"/>
  <c r="M5" i="2"/>
  <c r="N5" i="2"/>
  <c r="M55" i="2"/>
  <c r="N55" i="2"/>
  <c r="M10" i="2"/>
  <c r="N10" i="2"/>
  <c r="M25" i="2"/>
  <c r="N25" i="2"/>
  <c r="M21" i="2"/>
  <c r="N21" i="2"/>
  <c r="M18" i="2"/>
  <c r="N18" i="2"/>
  <c r="M23" i="2"/>
  <c r="N23" i="2"/>
  <c r="M49" i="2"/>
  <c r="N49" i="2"/>
  <c r="M57" i="2"/>
  <c r="N57" i="2"/>
  <c r="T20" i="2"/>
  <c r="T57" i="2"/>
  <c r="T62" i="2"/>
  <c r="T24" i="2"/>
  <c r="T42" i="2"/>
  <c r="T12" i="2"/>
  <c r="T28" i="2"/>
  <c r="T61" i="2"/>
  <c r="T15" i="2"/>
  <c r="T33" i="2"/>
  <c r="T43" i="2"/>
  <c r="T45" i="2"/>
  <c r="T23" i="2"/>
  <c r="T22" i="2"/>
  <c r="T3" i="2"/>
  <c r="T17" i="2"/>
  <c r="T55" i="2"/>
  <c r="T6" i="2"/>
  <c r="T51" i="2"/>
  <c r="T58" i="2"/>
  <c r="T27" i="2"/>
  <c r="T38" i="2"/>
  <c r="T52" i="2"/>
  <c r="T21" i="2"/>
  <c r="T34" i="2"/>
  <c r="T40" i="2"/>
  <c r="T30" i="2"/>
  <c r="T47" i="2"/>
  <c r="T16" i="2"/>
  <c r="T5" i="2"/>
  <c r="T29" i="2"/>
  <c r="T14" i="2"/>
  <c r="T37" i="2"/>
  <c r="T41" i="2"/>
  <c r="T8" i="2"/>
  <c r="AC2" i="2"/>
  <c r="T35" i="2"/>
  <c r="T7" i="2"/>
  <c r="T48" i="2"/>
  <c r="T13" i="2"/>
  <c r="T19" i="2"/>
  <c r="T54" i="2"/>
  <c r="T32" i="2"/>
  <c r="T53" i="2"/>
  <c r="T2" i="2"/>
  <c r="Y2" i="2" s="1"/>
  <c r="T36" i="2"/>
  <c r="T50" i="2"/>
  <c r="T11" i="2"/>
  <c r="T56" i="2"/>
  <c r="T18" i="2"/>
  <c r="T46" i="2"/>
  <c r="T25" i="2"/>
  <c r="T9" i="2"/>
  <c r="T4" i="2"/>
  <c r="T44" i="2"/>
  <c r="AC62" i="2"/>
  <c r="T10" i="2"/>
  <c r="T59" i="2"/>
  <c r="T60" i="2"/>
  <c r="T49" i="2"/>
  <c r="T39" i="2"/>
  <c r="T31" i="2"/>
  <c r="T26" i="2"/>
  <c r="M7" i="2"/>
  <c r="N7" i="2"/>
  <c r="M4" i="2"/>
  <c r="N4" i="2"/>
  <c r="M20" i="2"/>
  <c r="N20" i="2"/>
  <c r="M22" i="2"/>
  <c r="N22" i="2"/>
  <c r="M36" i="2"/>
  <c r="N36" i="2"/>
  <c r="M9" i="2"/>
  <c r="N9" i="2"/>
  <c r="M44" i="2"/>
  <c r="N44" i="2"/>
  <c r="M62" i="2"/>
  <c r="N62" i="2"/>
  <c r="M31" i="2"/>
  <c r="N31" i="2"/>
  <c r="M34" i="2"/>
  <c r="N34" i="2"/>
  <c r="M16" i="2"/>
  <c r="N16" i="2"/>
  <c r="M11" i="2"/>
  <c r="N11" i="2"/>
  <c r="M56" i="2"/>
  <c r="N56" i="2"/>
  <c r="M46" i="2"/>
  <c r="N46" i="2"/>
  <c r="M51" i="2"/>
  <c r="N51" i="2"/>
  <c r="M8" i="2"/>
  <c r="N8" i="2"/>
  <c r="M6" i="2"/>
  <c r="N6" i="2"/>
  <c r="M15" i="2"/>
  <c r="N15" i="2"/>
  <c r="M32" i="2"/>
  <c r="N32" i="2"/>
  <c r="M54" i="2"/>
  <c r="N54" i="2"/>
  <c r="M41" i="2"/>
  <c r="N41" i="2"/>
  <c r="M30" i="2"/>
  <c r="N30" i="2"/>
  <c r="M59" i="2"/>
  <c r="N59" i="2"/>
  <c r="M3" i="2"/>
  <c r="M37" i="2"/>
  <c r="N37" i="2"/>
  <c r="M40" i="2"/>
  <c r="N40" i="2"/>
  <c r="M26" i="2"/>
  <c r="N26" i="2"/>
  <c r="D19" i="2"/>
  <c r="G16" i="1"/>
  <c r="M48" i="2"/>
  <c r="N48" i="2"/>
  <c r="M39" i="2"/>
  <c r="N39" i="2"/>
  <c r="M52" i="2"/>
  <c r="N52" i="2"/>
  <c r="AB21" i="2"/>
  <c r="AC21" i="2" s="1"/>
  <c r="AE21" i="2" s="1"/>
  <c r="AB11" i="2"/>
  <c r="AC11" i="2" s="1"/>
  <c r="AD11" i="2" s="1"/>
  <c r="AB51" i="2"/>
  <c r="AC51" i="2" s="1"/>
  <c r="AD51" i="2" s="1"/>
  <c r="AB4" i="2"/>
  <c r="AC4" i="2" s="1"/>
  <c r="AE4" i="2" s="1"/>
  <c r="AB36" i="2"/>
  <c r="AC36" i="2" s="1"/>
  <c r="AD36" i="2" s="1"/>
  <c r="AB55" i="2"/>
  <c r="AC55" i="2" s="1"/>
  <c r="AB44" i="2"/>
  <c r="AC44" i="2" s="1"/>
  <c r="AD44" i="2" s="1"/>
  <c r="AB57" i="2"/>
  <c r="AC57" i="2" s="1"/>
  <c r="AE57" i="2" s="1"/>
  <c r="AB50" i="2"/>
  <c r="AC50" i="2" s="1"/>
  <c r="AB18" i="2"/>
  <c r="AC18" i="2" s="1"/>
  <c r="AE18" i="2" s="1"/>
  <c r="AB15" i="2"/>
  <c r="AC15" i="2" s="1"/>
  <c r="AD15" i="2" s="1"/>
  <c r="D18" i="2"/>
  <c r="AB29" i="2"/>
  <c r="AC29" i="2" s="1"/>
  <c r="AB19" i="2"/>
  <c r="AC19" i="2" s="1"/>
  <c r="AE19" i="2" s="1"/>
  <c r="AB6" i="2"/>
  <c r="AC6" i="2" s="1"/>
  <c r="AE6" i="2" s="1"/>
  <c r="AB26" i="2"/>
  <c r="AC26" i="2" s="1"/>
  <c r="AB24" i="2"/>
  <c r="AC24" i="2" s="1"/>
  <c r="AB56" i="2"/>
  <c r="AC56" i="2" s="1"/>
  <c r="AE56" i="2" s="1"/>
  <c r="AB61" i="2"/>
  <c r="AC61" i="2" s="1"/>
  <c r="AB52" i="2"/>
  <c r="AC52" i="2" s="1"/>
  <c r="AE52" i="2" s="1"/>
  <c r="AB39" i="2"/>
  <c r="AC39" i="2" s="1"/>
  <c r="AD39" i="2" s="1"/>
  <c r="AB7" i="2"/>
  <c r="AC7" i="2" s="1"/>
  <c r="AB38" i="2"/>
  <c r="AC38" i="2" s="1"/>
  <c r="AE38" i="2" s="1"/>
  <c r="G15" i="1"/>
  <c r="AB35" i="2"/>
  <c r="AC35" i="2" s="1"/>
  <c r="AD35" i="2" s="1"/>
  <c r="AB25" i="2"/>
  <c r="AC25" i="2" s="1"/>
  <c r="AD25" i="2" s="1"/>
  <c r="AB45" i="2"/>
  <c r="AC45" i="2" s="1"/>
  <c r="AE45" i="2" s="1"/>
  <c r="AB40" i="2"/>
  <c r="AC40" i="2" s="1"/>
  <c r="AE40" i="2" s="1"/>
  <c r="AB12" i="2"/>
  <c r="AC12" i="2" s="1"/>
  <c r="AD12" i="2" s="1"/>
  <c r="AB60" i="2"/>
  <c r="AC60" i="2" s="1"/>
  <c r="AD60" i="2" s="1"/>
  <c r="AB9" i="2"/>
  <c r="AC9" i="2" s="1"/>
  <c r="AD9" i="2" s="1"/>
  <c r="AB32" i="2"/>
  <c r="AC32" i="2" s="1"/>
  <c r="AE32" i="2" s="1"/>
  <c r="AB27" i="2"/>
  <c r="AC27" i="2" s="1"/>
  <c r="AE27" i="2" s="1"/>
  <c r="AB13" i="2"/>
  <c r="AC13" i="2" s="1"/>
  <c r="AD13" i="2" s="1"/>
  <c r="AB53" i="2"/>
  <c r="AC53" i="2" s="1"/>
  <c r="AB22" i="2"/>
  <c r="AC22" i="2" s="1"/>
  <c r="AE22" i="2" s="1"/>
  <c r="AB43" i="2"/>
  <c r="AC43" i="2" s="1"/>
  <c r="AE43" i="2" s="1"/>
  <c r="AB54" i="2"/>
  <c r="AC54" i="2" s="1"/>
  <c r="AB33" i="2"/>
  <c r="AC33" i="2" s="1"/>
  <c r="AE33" i="2" s="1"/>
  <c r="AB46" i="2"/>
  <c r="AC46" i="2" s="1"/>
  <c r="AE46" i="2" s="1"/>
  <c r="AB59" i="2"/>
  <c r="AC59" i="2" s="1"/>
  <c r="AD59" i="2" s="1"/>
  <c r="AB3" i="2"/>
  <c r="G17" i="1" s="1"/>
  <c r="A34" i="2" s="1"/>
  <c r="AB17" i="2"/>
  <c r="AC17" i="2" s="1"/>
  <c r="AD17" i="2" s="1"/>
  <c r="AB34" i="2"/>
  <c r="AC34" i="2" s="1"/>
  <c r="AE34" i="2" s="1"/>
  <c r="AB31" i="2"/>
  <c r="AC31" i="2" s="1"/>
  <c r="AD31" i="2" s="1"/>
  <c r="AB20" i="2"/>
  <c r="AC20" i="2" s="1"/>
  <c r="AE20" i="2" s="1"/>
  <c r="AB14" i="2"/>
  <c r="AC14" i="2" s="1"/>
  <c r="AD14" i="2" s="1"/>
  <c r="AB49" i="2"/>
  <c r="AC49" i="2" s="1"/>
  <c r="AB16" i="2"/>
  <c r="AC16" i="2" s="1"/>
  <c r="AD16" i="2" s="1"/>
  <c r="AB37" i="2"/>
  <c r="AC37" i="2" s="1"/>
  <c r="AE37" i="2" s="1"/>
  <c r="AB28" i="2"/>
  <c r="AC28" i="2" s="1"/>
  <c r="AD28" i="2" s="1"/>
  <c r="AB41" i="2"/>
  <c r="AC41" i="2" s="1"/>
  <c r="AB23" i="2"/>
  <c r="AC23" i="2" s="1"/>
  <c r="AD23" i="2" s="1"/>
  <c r="AB48" i="2"/>
  <c r="AC48" i="2" s="1"/>
  <c r="AD48" i="2" s="1"/>
  <c r="AB58" i="2"/>
  <c r="AC58" i="2" s="1"/>
  <c r="AD58" i="2" s="1"/>
  <c r="AB42" i="2"/>
  <c r="AC42" i="2" s="1"/>
  <c r="AE42" i="2" s="1"/>
  <c r="AB47" i="2"/>
  <c r="AC47" i="2" s="1"/>
  <c r="AE47" i="2" s="1"/>
  <c r="AB5" i="2"/>
  <c r="AC5" i="2" s="1"/>
  <c r="AE5" i="2" s="1"/>
  <c r="AB10" i="2"/>
  <c r="AC10" i="2" s="1"/>
  <c r="AD10" i="2" s="1"/>
  <c r="AB8" i="2"/>
  <c r="AC8" i="2" s="1"/>
  <c r="AE8" i="2" s="1"/>
  <c r="AB30" i="2"/>
  <c r="AC30" i="2" s="1"/>
  <c r="AE30" i="2" s="1"/>
  <c r="M19" i="2"/>
  <c r="N19" i="2"/>
  <c r="A31" i="2" l="1"/>
  <c r="A33" i="2" s="1"/>
  <c r="C33" i="2" s="1"/>
  <c r="S3" i="1"/>
  <c r="F15" i="1"/>
  <c r="S5" i="1"/>
  <c r="AE16" i="2"/>
  <c r="O35" i="2"/>
  <c r="AE15" i="2"/>
  <c r="AE14" i="2"/>
  <c r="AE10" i="2"/>
  <c r="AD20" i="2"/>
  <c r="AD50" i="2"/>
  <c r="AE50" i="2"/>
  <c r="AD56" i="2"/>
  <c r="AD32" i="2"/>
  <c r="AD24" i="2"/>
  <c r="AE24" i="2"/>
  <c r="AD29" i="2"/>
  <c r="AE29" i="2"/>
  <c r="AE28" i="2"/>
  <c r="AD46" i="2"/>
  <c r="AE35" i="2"/>
  <c r="AD22" i="2"/>
  <c r="AD8" i="2"/>
  <c r="AD38" i="2"/>
  <c r="AE41" i="2"/>
  <c r="AD41" i="2"/>
  <c r="AD53" i="2"/>
  <c r="AE53" i="2"/>
  <c r="AD7" i="2"/>
  <c r="AE7" i="2"/>
  <c r="AD26" i="2"/>
  <c r="AE26" i="2"/>
  <c r="AE54" i="2"/>
  <c r="AD54" i="2"/>
  <c r="AE49" i="2"/>
  <c r="AD49" i="2"/>
  <c r="AE61" i="2"/>
  <c r="AD61" i="2"/>
  <c r="AE55" i="2"/>
  <c r="AD55" i="2"/>
  <c r="P54" i="2"/>
  <c r="O54" i="2"/>
  <c r="O36" i="2"/>
  <c r="P36" i="2"/>
  <c r="Y25" i="2"/>
  <c r="U25" i="2"/>
  <c r="Y13" i="2"/>
  <c r="U13" i="2"/>
  <c r="Y47" i="2"/>
  <c r="U47" i="2"/>
  <c r="Y17" i="2"/>
  <c r="U17" i="2"/>
  <c r="Y24" i="2"/>
  <c r="U24" i="2"/>
  <c r="P21" i="2"/>
  <c r="O21" i="2"/>
  <c r="P60" i="2"/>
  <c r="O60" i="2"/>
  <c r="P14" i="2"/>
  <c r="O14" i="2"/>
  <c r="P47" i="2"/>
  <c r="O47" i="2"/>
  <c r="Y48" i="2"/>
  <c r="U48" i="2"/>
  <c r="P32" i="2"/>
  <c r="O32" i="2"/>
  <c r="Y31" i="2"/>
  <c r="U31" i="2"/>
  <c r="Y18" i="2"/>
  <c r="U18" i="2"/>
  <c r="Y7" i="2"/>
  <c r="U7" i="2"/>
  <c r="Y40" i="2"/>
  <c r="U40" i="2"/>
  <c r="Y22" i="2"/>
  <c r="U22" i="2"/>
  <c r="Y57" i="2"/>
  <c r="U57" i="2"/>
  <c r="O25" i="2"/>
  <c r="P25" i="2"/>
  <c r="P24" i="2"/>
  <c r="O24" i="2"/>
  <c r="O33" i="2"/>
  <c r="P33" i="2"/>
  <c r="O38" i="2"/>
  <c r="P38" i="2"/>
  <c r="Y46" i="2"/>
  <c r="U46" i="2"/>
  <c r="AE44" i="2"/>
  <c r="O48" i="2"/>
  <c r="P48" i="2"/>
  <c r="P59" i="2"/>
  <c r="O59" i="2"/>
  <c r="O46" i="2"/>
  <c r="P46" i="2"/>
  <c r="Y39" i="2"/>
  <c r="U39" i="2"/>
  <c r="Y56" i="2"/>
  <c r="U56" i="2"/>
  <c r="Y35" i="2"/>
  <c r="U35" i="2"/>
  <c r="Y34" i="2"/>
  <c r="U34" i="2"/>
  <c r="Y23" i="2"/>
  <c r="U23" i="2"/>
  <c r="Y20" i="2"/>
  <c r="U20" i="2"/>
  <c r="Y26" i="2"/>
  <c r="U26" i="2"/>
  <c r="O15" i="2"/>
  <c r="P15" i="2"/>
  <c r="P31" i="2"/>
  <c r="O31" i="2"/>
  <c r="Y49" i="2"/>
  <c r="U49" i="2"/>
  <c r="Y11" i="2"/>
  <c r="U11" i="2"/>
  <c r="AE2" i="2"/>
  <c r="AD2" i="2"/>
  <c r="Y21" i="2"/>
  <c r="U21" i="2"/>
  <c r="Y45" i="2"/>
  <c r="U45" i="2"/>
  <c r="P57" i="2"/>
  <c r="O57" i="2"/>
  <c r="O10" i="2"/>
  <c r="P10" i="2"/>
  <c r="P45" i="2"/>
  <c r="O45" i="2"/>
  <c r="P27" i="2"/>
  <c r="O27" i="2"/>
  <c r="O61" i="2"/>
  <c r="P61" i="2"/>
  <c r="AD34" i="2"/>
  <c r="AE11" i="2"/>
  <c r="O19" i="2"/>
  <c r="P19" i="2"/>
  <c r="O56" i="2"/>
  <c r="P56" i="2"/>
  <c r="P22" i="2"/>
  <c r="O22" i="2"/>
  <c r="Y60" i="2"/>
  <c r="U60" i="2"/>
  <c r="Y50" i="2"/>
  <c r="U50" i="2"/>
  <c r="Y8" i="2"/>
  <c r="U8" i="2"/>
  <c r="Y52" i="2"/>
  <c r="U52" i="2"/>
  <c r="Y43" i="2"/>
  <c r="U43" i="2"/>
  <c r="O51" i="2"/>
  <c r="P51" i="2"/>
  <c r="Y3" i="2"/>
  <c r="U3" i="2"/>
  <c r="AE25" i="2"/>
  <c r="F16" i="1"/>
  <c r="O6" i="2"/>
  <c r="P6" i="2"/>
  <c r="O62" i="2"/>
  <c r="P62" i="2"/>
  <c r="Y59" i="2"/>
  <c r="U59" i="2"/>
  <c r="Y36" i="2"/>
  <c r="U36" i="2"/>
  <c r="Y41" i="2"/>
  <c r="U41" i="2"/>
  <c r="Y38" i="2"/>
  <c r="U38" i="2"/>
  <c r="Y33" i="2"/>
  <c r="U33" i="2"/>
  <c r="O49" i="2"/>
  <c r="P49" i="2"/>
  <c r="O55" i="2"/>
  <c r="P55" i="2"/>
  <c r="O43" i="2"/>
  <c r="P43" i="2"/>
  <c r="P29" i="2"/>
  <c r="O29" i="2"/>
  <c r="P58" i="2"/>
  <c r="O58" i="2"/>
  <c r="AC3" i="2"/>
  <c r="AE3" i="2" s="1"/>
  <c r="AE12" i="2"/>
  <c r="O26" i="2"/>
  <c r="P26" i="2"/>
  <c r="O11" i="2"/>
  <c r="P11" i="2"/>
  <c r="P20" i="2"/>
  <c r="O20" i="2"/>
  <c r="Y10" i="2"/>
  <c r="U10" i="2"/>
  <c r="U2" i="2"/>
  <c r="Y37" i="2"/>
  <c r="U37" i="2"/>
  <c r="Y27" i="2"/>
  <c r="U27" i="2"/>
  <c r="Y15" i="2"/>
  <c r="U15" i="2"/>
  <c r="O52" i="2"/>
  <c r="P52" i="2"/>
  <c r="O30" i="2"/>
  <c r="P30" i="2"/>
  <c r="O44" i="2"/>
  <c r="P44" i="2"/>
  <c r="AE62" i="2"/>
  <c r="AD62" i="2"/>
  <c r="Y53" i="2"/>
  <c r="U53" i="2"/>
  <c r="Y14" i="2"/>
  <c r="U14" i="2"/>
  <c r="Y58" i="2"/>
  <c r="U58" i="2"/>
  <c r="Y61" i="2"/>
  <c r="U61" i="2"/>
  <c r="P23" i="2"/>
  <c r="O23" i="2"/>
  <c r="P5" i="2"/>
  <c r="O5" i="2"/>
  <c r="O42" i="2"/>
  <c r="P42" i="2"/>
  <c r="P17" i="2"/>
  <c r="O17" i="2"/>
  <c r="O28" i="2"/>
  <c r="P28" i="2"/>
  <c r="AD6" i="2"/>
  <c r="O40" i="2"/>
  <c r="P40" i="2"/>
  <c r="P16" i="2"/>
  <c r="O16" i="2"/>
  <c r="O4" i="2"/>
  <c r="P4" i="2"/>
  <c r="Y44" i="2"/>
  <c r="U44" i="2"/>
  <c r="Y32" i="2"/>
  <c r="U32" i="2"/>
  <c r="Y29" i="2"/>
  <c r="U29" i="2"/>
  <c r="Y51" i="2"/>
  <c r="U51" i="2"/>
  <c r="Y28" i="2"/>
  <c r="U28" i="2"/>
  <c r="Y30" i="2"/>
  <c r="U30" i="2"/>
  <c r="O39" i="2"/>
  <c r="P39" i="2"/>
  <c r="P41" i="2"/>
  <c r="O41" i="2"/>
  <c r="P9" i="2"/>
  <c r="O9" i="2"/>
  <c r="Y4" i="2"/>
  <c r="U4" i="2"/>
  <c r="Y54" i="2"/>
  <c r="U54" i="2"/>
  <c r="Y5" i="2"/>
  <c r="U5" i="2"/>
  <c r="Y6" i="2"/>
  <c r="U6" i="2"/>
  <c r="Y12" i="2"/>
  <c r="U12" i="2"/>
  <c r="P18" i="2"/>
  <c r="O18" i="2"/>
  <c r="P50" i="2"/>
  <c r="O50" i="2"/>
  <c r="P13" i="2"/>
  <c r="O13" i="2"/>
  <c r="P12" i="2"/>
  <c r="O12" i="2"/>
  <c r="O53" i="2"/>
  <c r="P53" i="2"/>
  <c r="P3" i="2"/>
  <c r="O3" i="2"/>
  <c r="Y62" i="2"/>
  <c r="U62" i="2"/>
  <c r="AE17" i="2"/>
  <c r="AE59" i="2"/>
  <c r="AE9" i="2"/>
  <c r="AE31" i="2"/>
  <c r="P37" i="2"/>
  <c r="O37" i="2"/>
  <c r="O8" i="2"/>
  <c r="P8" i="2"/>
  <c r="O34" i="2"/>
  <c r="P34" i="2"/>
  <c r="O7" i="2"/>
  <c r="P7" i="2"/>
  <c r="Y9" i="2"/>
  <c r="U9" i="2"/>
  <c r="Y19" i="2"/>
  <c r="U19" i="2"/>
  <c r="Y16" i="2"/>
  <c r="U16" i="2"/>
  <c r="Y55" i="2"/>
  <c r="U55" i="2"/>
  <c r="Y42" i="2"/>
  <c r="U42" i="2"/>
  <c r="AD27" i="2"/>
  <c r="AE51" i="2"/>
  <c r="AE13" i="2"/>
  <c r="AD52" i="2"/>
  <c r="AE36" i="2"/>
  <c r="AD57" i="2"/>
  <c r="AD37" i="2"/>
  <c r="AD43" i="2"/>
  <c r="AD19" i="2"/>
  <c r="AD30" i="2"/>
  <c r="AD18" i="2"/>
  <c r="AD40" i="2"/>
  <c r="AD33" i="2"/>
  <c r="AD47" i="2"/>
  <c r="AD5" i="2"/>
  <c r="AD4" i="2"/>
  <c r="AE60" i="2"/>
  <c r="AE58" i="2"/>
  <c r="AD42" i="2"/>
  <c r="AD45" i="2"/>
  <c r="AD21" i="2"/>
  <c r="AE23" i="2"/>
  <c r="AE48" i="2"/>
  <c r="AE39" i="2"/>
  <c r="A36" i="2" l="1"/>
  <c r="B36" i="2" s="1"/>
  <c r="C34" i="2"/>
  <c r="B34" i="2"/>
  <c r="C31" i="2"/>
  <c r="B31" i="2"/>
  <c r="AD3" i="2"/>
  <c r="W61" i="2"/>
  <c r="V61" i="2"/>
  <c r="W10" i="2"/>
  <c r="V10" i="2"/>
  <c r="V41" i="2"/>
  <c r="W41" i="2"/>
  <c r="W7" i="2"/>
  <c r="V7" i="2"/>
  <c r="W13" i="2"/>
  <c r="V13" i="2"/>
  <c r="W20" i="2"/>
  <c r="V20" i="2"/>
  <c r="V58" i="2"/>
  <c r="W58" i="2"/>
  <c r="W36" i="2"/>
  <c r="V36" i="2"/>
  <c r="V18" i="2"/>
  <c r="W18" i="2"/>
  <c r="W25" i="2"/>
  <c r="V25" i="2"/>
  <c r="V42" i="2"/>
  <c r="W42" i="2"/>
  <c r="W12" i="2"/>
  <c r="V12" i="2"/>
  <c r="V32" i="2"/>
  <c r="W32" i="2"/>
  <c r="V11" i="2"/>
  <c r="W11" i="2"/>
  <c r="V23" i="2"/>
  <c r="W23" i="2"/>
  <c r="W60" i="2"/>
  <c r="V60" i="2"/>
  <c r="V15" i="2"/>
  <c r="W15" i="2"/>
  <c r="V59" i="2"/>
  <c r="W59" i="2"/>
  <c r="W31" i="2"/>
  <c r="V31" i="2"/>
  <c r="V55" i="2"/>
  <c r="W55" i="2"/>
  <c r="V6" i="2"/>
  <c r="W6" i="2"/>
  <c r="V44" i="2"/>
  <c r="W44" i="2"/>
  <c r="W43" i="2"/>
  <c r="V43" i="2"/>
  <c r="W49" i="2"/>
  <c r="V49" i="2"/>
  <c r="V34" i="2"/>
  <c r="W34" i="2"/>
  <c r="W29" i="2"/>
  <c r="V29" i="2"/>
  <c r="V3" i="2"/>
  <c r="W3" i="2"/>
  <c r="W53" i="2"/>
  <c r="V53" i="2"/>
  <c r="W27" i="2"/>
  <c r="V27" i="2"/>
  <c r="V57" i="2"/>
  <c r="W57" i="2"/>
  <c r="V24" i="2"/>
  <c r="W24" i="2"/>
  <c r="W62" i="2"/>
  <c r="V62" i="2"/>
  <c r="V16" i="2"/>
  <c r="W16" i="2"/>
  <c r="W5" i="2"/>
  <c r="V5" i="2"/>
  <c r="V30" i="2"/>
  <c r="W30" i="2"/>
  <c r="W52" i="2"/>
  <c r="V52" i="2"/>
  <c r="W35" i="2"/>
  <c r="V35" i="2"/>
  <c r="W14" i="2"/>
  <c r="V14" i="2"/>
  <c r="V37" i="2"/>
  <c r="W37" i="2"/>
  <c r="W33" i="2"/>
  <c r="V33" i="2"/>
  <c r="V46" i="2"/>
  <c r="W46" i="2"/>
  <c r="W22" i="2"/>
  <c r="V22" i="2"/>
  <c r="V48" i="2"/>
  <c r="W48" i="2"/>
  <c r="V17" i="2"/>
  <c r="W17" i="2"/>
  <c r="V19" i="2"/>
  <c r="W19" i="2"/>
  <c r="V54" i="2"/>
  <c r="W54" i="2"/>
  <c r="V28" i="2"/>
  <c r="W28" i="2"/>
  <c r="W8" i="2"/>
  <c r="V8" i="2"/>
  <c r="V45" i="2"/>
  <c r="W45" i="2"/>
  <c r="V56" i="2"/>
  <c r="W56" i="2"/>
  <c r="W2" i="2"/>
  <c r="V2" i="2"/>
  <c r="V38" i="2"/>
  <c r="W38" i="2"/>
  <c r="W40" i="2"/>
  <c r="V40" i="2"/>
  <c r="W47" i="2"/>
  <c r="V47" i="2"/>
  <c r="W9" i="2"/>
  <c r="V9" i="2"/>
  <c r="W4" i="2"/>
  <c r="V4" i="2"/>
  <c r="W51" i="2"/>
  <c r="V51" i="2"/>
  <c r="W50" i="2"/>
  <c r="V50" i="2"/>
  <c r="V21" i="2"/>
  <c r="W21" i="2"/>
  <c r="W26" i="2"/>
  <c r="V26" i="2"/>
  <c r="V39" i="2"/>
  <c r="W39" i="2"/>
  <c r="B33" i="2" l="1"/>
  <c r="G98" i="2"/>
  <c r="A37" i="2" l="1"/>
  <c r="B37" i="2" s="1"/>
  <c r="A38" i="2" s="1"/>
  <c r="G95" i="1"/>
  <c r="B38" i="2" l="1"/>
  <c r="S2" i="1" s="1"/>
  <c r="B39" i="2"/>
  <c r="S1" i="1" s="1"/>
  <c r="B40" i="2" l="1"/>
  <c r="B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 Jones</author>
  </authors>
  <commentList>
    <comment ref="C3" authorId="0" shapeId="0" xr:uid="{AA470FF2-CA25-4912-943F-2305A85F4A61}">
      <text>
        <r>
          <rPr>
            <sz val="9"/>
            <color indexed="81"/>
            <rFont val="Tahoma"/>
            <family val="2"/>
          </rPr>
          <t>Wavelength in nm</t>
        </r>
      </text>
    </comment>
    <comment ref="G3" authorId="0" shapeId="0" xr:uid="{2005C1FD-0D23-4188-9DA4-B8AD2F1BF8B1}">
      <text>
        <r>
          <rPr>
            <sz val="9"/>
            <color indexed="81"/>
            <rFont val="Tahoma"/>
            <family val="2"/>
          </rPr>
          <t>Full divergence angle in the far-field region of the beam (at least several Rayleigh lengths from the waist)</t>
        </r>
      </text>
    </comment>
    <comment ref="C4" authorId="0" shapeId="0" xr:uid="{34A6A148-7014-4A37-8C53-9D2F7EBCD18B}">
      <text>
        <r>
          <rPr>
            <sz val="9"/>
            <color indexed="81"/>
            <rFont val="Tahoma"/>
            <family val="2"/>
          </rPr>
          <t>M2 Beam quality factor
M2=1 is perfect fundamental 
Gaussian</t>
        </r>
      </text>
    </comment>
    <comment ref="G4" authorId="0" shapeId="0" xr:uid="{19FB5DFA-AD30-457A-8DB1-AD73FE97ECB8}">
      <text>
        <r>
          <rPr>
            <sz val="9"/>
            <color indexed="81"/>
            <rFont val="Tahoma"/>
            <family val="2"/>
          </rPr>
          <t>Distance from the beam waist at which the diameter increases by sqrt(2)</t>
        </r>
      </text>
    </comment>
    <comment ref="C5" authorId="0" shapeId="0" xr:uid="{269C253A-CDDC-402F-97D0-7E2F1C6E2B31}">
      <text>
        <r>
          <rPr>
            <sz val="9"/>
            <color indexed="81"/>
            <rFont val="Tahoma"/>
            <family val="2"/>
          </rPr>
          <t xml:space="preserve">Input beam </t>
        </r>
        <r>
          <rPr>
            <i/>
            <sz val="9"/>
            <color indexed="81"/>
            <rFont val="Tahoma"/>
            <family val="2"/>
          </rPr>
          <t>waist</t>
        </r>
        <r>
          <rPr>
            <sz val="9"/>
            <color indexed="81"/>
            <rFont val="Tahoma"/>
            <family val="2"/>
          </rPr>
          <t xml:space="preserve"> 1/e^2 diameter in mm</t>
        </r>
      </text>
    </comment>
    <comment ref="G6" authorId="0" shapeId="0" xr:uid="{0A1473EC-A985-4427-9850-2A4EC30C4603}">
      <text>
        <r>
          <rPr>
            <sz val="9"/>
            <color indexed="81"/>
            <rFont val="Tahoma"/>
            <family val="2"/>
          </rPr>
          <t>Ratio of the output beam waist diameter to input beam waist diameter</t>
        </r>
      </text>
    </comment>
    <comment ref="C7" authorId="0" shapeId="0" xr:uid="{5866FFFE-E1A5-4E1E-948D-3DF98B5B1B44}">
      <text>
        <r>
          <rPr>
            <sz val="9"/>
            <color indexed="81"/>
            <rFont val="Tahoma"/>
            <family val="2"/>
          </rPr>
          <t>Choose a DataRay beam profiler</t>
        </r>
      </text>
    </comment>
    <comment ref="G7" authorId="0" shapeId="0" xr:uid="{66881726-7407-4DA5-BCCE-4EAC04089AC7}">
      <text>
        <r>
          <rPr>
            <sz val="9"/>
            <color indexed="81"/>
            <rFont val="Tahoma"/>
            <family val="2"/>
          </rPr>
          <t>Diameter of the output beam waist. The beamwaist plane does not necessarily coincide with the measurement plane</t>
        </r>
      </text>
    </comment>
    <comment ref="I8" authorId="0" shapeId="0" xr:uid="{9C74F0C7-55BD-4F5C-8074-CAAEDBD684D2}">
      <text>
        <r>
          <rPr>
            <sz val="9"/>
            <color indexed="81"/>
            <rFont val="Tahoma"/>
            <family val="2"/>
          </rPr>
          <t>Full divergence angle in mrad of the far-field region of the beam (at least several Rayleigh lengths from the waist).</t>
        </r>
      </text>
    </comment>
    <comment ref="G9" authorId="0" shapeId="0" xr:uid="{B788FC8C-E74F-40E9-B405-D1DFA4A3A1CB}">
      <text>
        <r>
          <rPr>
            <sz val="9"/>
            <color indexed="81"/>
            <rFont val="Tahoma"/>
            <family val="2"/>
          </rPr>
          <t>Distance of the output beam waist from the focusing lens. This is not necessarily equal to the focal length of the lens</t>
        </r>
      </text>
    </comment>
    <comment ref="G10" authorId="0" shapeId="0" xr:uid="{ED2D2E55-382F-4B15-B95D-FB12D474F9CB}">
      <text>
        <r>
          <rPr>
            <sz val="9"/>
            <color indexed="81"/>
            <rFont val="Tahoma"/>
            <family val="2"/>
          </rPr>
          <t>Distance from the beam waist at which the diameter increases by sqrt(2)</t>
        </r>
      </text>
    </comment>
    <comment ref="C11" authorId="0" shapeId="0" xr:uid="{9E09B070-0AF4-499E-9EC6-627A0EA955CC}">
      <text>
        <r>
          <rPr>
            <sz val="9"/>
            <color indexed="81"/>
            <rFont val="Tahoma"/>
            <family val="2"/>
          </rPr>
          <t>Focal length in mm. Auto-populated with DataRay's standard focal length options for the chosen wavelength. Choose Custom to select non-standard options.</t>
        </r>
      </text>
    </comment>
    <comment ref="C12" authorId="0" shapeId="0" xr:uid="{C546680A-FF37-4588-8497-93B47B104BF0}">
      <text>
        <r>
          <rPr>
            <sz val="9"/>
            <color indexed="81"/>
            <rFont val="Tahoma"/>
            <family val="2"/>
          </rPr>
          <t>Estimated distance in mm from the input beam waist to the lens. If the beam is well collimated, make an estimate or use the source location as the beam waist location</t>
        </r>
      </text>
    </comment>
    <comment ref="G13" authorId="0" shapeId="0" xr:uid="{306E67AA-0C4E-4F0F-A708-7B33B94B25AE}">
      <text>
        <r>
          <rPr>
            <sz val="9"/>
            <color indexed="81"/>
            <rFont val="Tahoma"/>
            <family val="2"/>
          </rPr>
          <t>Minimum diameter the beam profiler can accurately measure</t>
        </r>
      </text>
    </comment>
    <comment ref="C14" authorId="0" shapeId="0" xr:uid="{8657A1F9-F8B5-47E1-993E-C28A1B62A7F9}">
      <text>
        <r>
          <rPr>
            <sz val="9"/>
            <color indexed="81"/>
            <rFont val="Tahoma"/>
            <family val="2"/>
          </rPr>
          <t>Distance between your source assembly and the focused beam waist</t>
        </r>
      </text>
    </comment>
    <comment ref="G21" authorId="0" shapeId="0" xr:uid="{242859CE-C384-434D-83B0-21CE12126E24}">
      <text>
        <r>
          <rPr>
            <sz val="9"/>
            <color indexed="81"/>
            <rFont val="Tahoma"/>
            <family val="2"/>
          </rPr>
          <t>If lens, assumes Delta 
Zo = 5 mm</t>
        </r>
      </text>
    </comment>
  </commentList>
</comments>
</file>

<file path=xl/sharedStrings.xml><?xml version="1.0" encoding="utf-8"?>
<sst xmlns="http://schemas.openxmlformats.org/spreadsheetml/2006/main" count="161" uniqueCount="127">
  <si>
    <t>nm</t>
  </si>
  <si>
    <t>mrad</t>
  </si>
  <si>
    <t>Input Beamwaist Diameter: 2Wo =</t>
  </si>
  <si>
    <t>mm</t>
  </si>
  <si>
    <t>User Entered Values</t>
  </si>
  <si>
    <t>Calculated Values</t>
  </si>
  <si>
    <t>Wavelength: λ=</t>
  </si>
  <si>
    <t>Lens Focal Length: F=</t>
  </si>
  <si>
    <t>Input beamwaist to lens distance: s=</t>
  </si>
  <si>
    <t>Estimated M2=</t>
  </si>
  <si>
    <t>Input Properties</t>
  </si>
  <si>
    <t>Beam Profiler Model:</t>
  </si>
  <si>
    <t>WinCamD-LCM</t>
  </si>
  <si>
    <t>WinCamD-UCD12</t>
  </si>
  <si>
    <t>WinCamD-UCD15</t>
  </si>
  <si>
    <t>WinCamD-UCD23</t>
  </si>
  <si>
    <t>BladeCam/WinCamD-UHR</t>
  </si>
  <si>
    <t>BladeCam/WinCamD-XHR</t>
  </si>
  <si>
    <t>WinCamD-IR-BB</t>
  </si>
  <si>
    <t>Beam'R2-Si</t>
  </si>
  <si>
    <t>Beam'R2-IGA</t>
  </si>
  <si>
    <t>um</t>
  </si>
  <si>
    <t>Count</t>
  </si>
  <si>
    <t>Distance from Waist</t>
  </si>
  <si>
    <t>Distance from Lens</t>
  </si>
  <si>
    <t>Diameter</t>
  </si>
  <si>
    <t>Radius</t>
  </si>
  <si>
    <t>Stage Position</t>
  </si>
  <si>
    <t>Stage Length</t>
  </si>
  <si>
    <t>Distance From Lens</t>
  </si>
  <si>
    <t>Stage Zoomed</t>
  </si>
  <si>
    <t>Radius at waist plane</t>
  </si>
  <si>
    <t>Output Waist Stage Position</t>
  </si>
  <si>
    <t>Working Distance</t>
  </si>
  <si>
    <t>Yes</t>
  </si>
  <si>
    <t>No</t>
  </si>
  <si>
    <t>Max Rayleigh Length (mm)</t>
  </si>
  <si>
    <t>Zr limit</t>
  </si>
  <si>
    <t>Min Diam</t>
  </si>
  <si>
    <t>From Lens</t>
  </si>
  <si>
    <t>Zr Limit</t>
  </si>
  <si>
    <t>Stage Position +-Zr3</t>
  </si>
  <si>
    <t>Stage Length (mm)</t>
  </si>
  <si>
    <t>Estimated 60 Sample Interval</t>
  </si>
  <si>
    <t>zR Scan Start</t>
  </si>
  <si>
    <t>zR Scan End</t>
  </si>
  <si>
    <t>Additional Spacing</t>
  </si>
  <si>
    <t>Actual</t>
  </si>
  <si>
    <t>Goal</t>
  </si>
  <si>
    <t>Sensor to Closest Lens or Input Position</t>
  </si>
  <si>
    <t>Required Length Of Spacers:</t>
  </si>
  <si>
    <t>Required Lens Diameter:</t>
  </si>
  <si>
    <r>
      <t xml:space="preserve">Input Far-field Full Divergence: </t>
    </r>
    <r>
      <rPr>
        <sz val="11"/>
        <color theme="1"/>
        <rFont val="Calibri"/>
        <family val="2"/>
      </rPr>
      <t>ϴ =</t>
    </r>
  </si>
  <si>
    <t>Input Rayleigh Length: Zr =</t>
  </si>
  <si>
    <t>Beam Waist Magnification: m =</t>
  </si>
  <si>
    <r>
      <t xml:space="preserve">Output Far-field Full Divergence: </t>
    </r>
    <r>
      <rPr>
        <sz val="11"/>
        <color theme="1"/>
        <rFont val="Calibri"/>
        <family val="2"/>
      </rPr>
      <t>ϴ' =</t>
    </r>
  </si>
  <si>
    <t>Output Waist Diameter: 2Wo' =</t>
  </si>
  <si>
    <t>Output Waist Distance: s' =</t>
  </si>
  <si>
    <t>Output Rayleigh Length: Zr' =</t>
  </si>
  <si>
    <t>Coatings</t>
  </si>
  <si>
    <t>UV</t>
  </si>
  <si>
    <t>VIS</t>
  </si>
  <si>
    <t>TEL</t>
  </si>
  <si>
    <t>MWIR</t>
  </si>
  <si>
    <t>NIR</t>
  </si>
  <si>
    <t>FIR</t>
  </si>
  <si>
    <t>Acceptable</t>
  </si>
  <si>
    <t>Lens Size ID</t>
  </si>
  <si>
    <t>-zR Goal</t>
  </si>
  <si>
    <t>+zR Goal</t>
  </si>
  <si>
    <t>Lens FL</t>
  </si>
  <si>
    <t>Min D</t>
  </si>
  <si>
    <t>Max D</t>
  </si>
  <si>
    <t>D</t>
  </si>
  <si>
    <t>Min wl</t>
  </si>
  <si>
    <t>Max wl</t>
  </si>
  <si>
    <t>Is input waist Zr below max?</t>
  </si>
  <si>
    <t>Custom</t>
  </si>
  <si>
    <t>Custom Focal Length: F=</t>
  </si>
  <si>
    <t>A</t>
  </si>
  <si>
    <t>FL count</t>
  </si>
  <si>
    <t>Ref</t>
  </si>
  <si>
    <t>CUSTOM</t>
  </si>
  <si>
    <t>FIR-G</t>
  </si>
  <si>
    <t>FL valid?</t>
  </si>
  <si>
    <t>FLc valid?</t>
  </si>
  <si>
    <t>UV-50</t>
  </si>
  <si>
    <t>VIS-50</t>
  </si>
  <si>
    <t>NIR-50</t>
  </si>
  <si>
    <t>TEL-50</t>
  </si>
  <si>
    <t>MWIR-50</t>
  </si>
  <si>
    <t>FIR-50</t>
  </si>
  <si>
    <t>degrees</t>
  </si>
  <si>
    <t>NA</t>
  </si>
  <si>
    <t>B39</t>
  </si>
  <si>
    <t>B38</t>
  </si>
  <si>
    <t>D19</t>
  </si>
  <si>
    <t>E19</t>
  </si>
  <si>
    <t>D18</t>
  </si>
  <si>
    <t>E18</t>
  </si>
  <si>
    <t>B55</t>
  </si>
  <si>
    <t>B56</t>
  </si>
  <si>
    <t>B57</t>
  </si>
  <si>
    <t>B58</t>
  </si>
  <si>
    <t>B59</t>
  </si>
  <si>
    <t>B60</t>
  </si>
  <si>
    <t>B61</t>
  </si>
  <si>
    <t>B62</t>
  </si>
  <si>
    <t>B63</t>
  </si>
  <si>
    <t>C14</t>
  </si>
  <si>
    <t>C15</t>
  </si>
  <si>
    <t>B2</t>
  </si>
  <si>
    <t>B3</t>
  </si>
  <si>
    <t>E70</t>
  </si>
  <si>
    <t>F93</t>
  </si>
  <si>
    <t>G92</t>
  </si>
  <si>
    <t>B22</t>
  </si>
  <si>
    <t>B23</t>
  </si>
  <si>
    <t>B24</t>
  </si>
  <si>
    <t>Beam'R2-IGA-2500</t>
  </si>
  <si>
    <t>B64</t>
  </si>
  <si>
    <t>Beam'R2-IGA-2300</t>
  </si>
  <si>
    <t>B65</t>
  </si>
  <si>
    <t>WinCamD-LCM-ML</t>
  </si>
  <si>
    <t>B66</t>
  </si>
  <si>
    <t>5/20/19 - Updated LPPS0/A values
1/21/20 - Added LCM-ML</t>
  </si>
  <si>
    <t>M2DU Stage Spreadsheet
v2020.01.21
Supports Excel 2007 or later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</si>
</sst>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00"/>
  </numFmts>
  <fonts count="16" x14ac:knownFonts="1">
    <font>
      <sz val="11"/>
      <color theme="1"/>
      <name val="Calibri"/>
      <family val="2"/>
      <scheme val="minor"/>
    </font>
    <font>
      <sz val="11"/>
      <color theme="1"/>
      <name val="Calibri"/>
      <family val="2"/>
      <scheme val="minor"/>
    </font>
    <font>
      <sz val="11"/>
      <color theme="1"/>
      <name val="Calibri"/>
      <family val="2"/>
    </font>
    <font>
      <b/>
      <sz val="11"/>
      <color theme="1"/>
      <name val="Calibri"/>
      <family val="2"/>
      <scheme val="minor"/>
    </font>
    <font>
      <sz val="11"/>
      <name val="Calibri"/>
      <family val="2"/>
      <scheme val="minor"/>
    </font>
    <font>
      <b/>
      <sz val="14"/>
      <name val="Calibri"/>
      <family val="2"/>
      <scheme val="minor"/>
    </font>
    <font>
      <b/>
      <sz val="14"/>
      <color theme="1"/>
      <name val="Calibri"/>
      <family val="2"/>
      <scheme val="minor"/>
    </font>
    <font>
      <sz val="9"/>
      <color indexed="81"/>
      <name val="Tahoma"/>
      <family val="2"/>
    </font>
    <font>
      <i/>
      <sz val="9"/>
      <color indexed="81"/>
      <name val="Tahoma"/>
      <family val="2"/>
    </font>
    <font>
      <b/>
      <u/>
      <sz val="12"/>
      <color theme="1"/>
      <name val="Calibri"/>
      <family val="2"/>
      <scheme val="minor"/>
    </font>
    <font>
      <sz val="11"/>
      <color theme="0"/>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8"/>
      <name val="Calibri"/>
      <family val="2"/>
      <scheme val="minor"/>
    </font>
    <font>
      <b/>
      <sz val="11"/>
      <color theme="0"/>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rgb="FFCCEC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92">
    <xf numFmtId="0" fontId="0" fillId="0" borderId="0" xfId="0"/>
    <xf numFmtId="0" fontId="1" fillId="0" borderId="0" xfId="0" applyFont="1"/>
    <xf numFmtId="0" fontId="0" fillId="0" borderId="0" xfId="0" applyFont="1"/>
    <xf numFmtId="0" fontId="1" fillId="0" borderId="0" xfId="0" applyFont="1" applyBorder="1"/>
    <xf numFmtId="0" fontId="1" fillId="0" borderId="0" xfId="0" applyFont="1" applyAlignment="1"/>
    <xf numFmtId="0" fontId="1" fillId="2" borderId="1" xfId="0" applyFont="1" applyFill="1" applyBorder="1" applyAlignment="1" applyProtection="1">
      <alignment horizontal="center"/>
      <protection locked="0"/>
    </xf>
    <xf numFmtId="0" fontId="4" fillId="0" borderId="0" xfId="0" applyFont="1" applyFill="1" applyBorder="1"/>
    <xf numFmtId="0" fontId="4" fillId="0" borderId="0" xfId="0" applyFont="1" applyFill="1" applyBorder="1" applyAlignment="1">
      <alignment horizontal="center"/>
    </xf>
    <xf numFmtId="2" fontId="1" fillId="0" borderId="0" xfId="0" applyNumberFormat="1" applyFont="1"/>
    <xf numFmtId="2" fontId="0" fillId="0" borderId="0" xfId="0" applyNumberFormat="1"/>
    <xf numFmtId="0" fontId="9" fillId="0" borderId="0" xfId="0" applyFont="1" applyAlignment="1">
      <alignment vertical="center"/>
    </xf>
    <xf numFmtId="0" fontId="1" fillId="0" borderId="1" xfId="0" applyFont="1" applyBorder="1"/>
    <xf numFmtId="0" fontId="0" fillId="0" borderId="1" xfId="0" applyFont="1" applyFill="1" applyBorder="1" applyAlignment="1">
      <alignment horizontal="right"/>
    </xf>
    <xf numFmtId="0" fontId="0" fillId="0" borderId="1" xfId="0" applyFont="1" applyFill="1" applyBorder="1"/>
    <xf numFmtId="0" fontId="0" fillId="0" borderId="0" xfId="0" applyFont="1" applyFill="1" applyBorder="1" applyAlignment="1">
      <alignment horizontal="right"/>
    </xf>
    <xf numFmtId="2" fontId="1" fillId="0" borderId="0" xfId="0" applyNumberFormat="1" applyFont="1" applyBorder="1" applyAlignment="1">
      <alignment horizontal="center"/>
    </xf>
    <xf numFmtId="0" fontId="0" fillId="0" borderId="0" xfId="0" applyFont="1" applyFill="1" applyBorder="1"/>
    <xf numFmtId="0" fontId="0" fillId="0" borderId="0" xfId="0" applyFont="1" applyBorder="1"/>
    <xf numFmtId="0" fontId="0" fillId="0" borderId="0" xfId="0" applyFont="1" applyAlignment="1">
      <alignment horizontal="right"/>
    </xf>
    <xf numFmtId="0" fontId="0" fillId="0" borderId="1" xfId="0" applyFont="1" applyBorder="1" applyAlignment="1">
      <alignment horizontal="right"/>
    </xf>
    <xf numFmtId="0" fontId="1" fillId="2" borderId="1" xfId="0" applyFont="1" applyFill="1" applyBorder="1" applyAlignment="1" applyProtection="1">
      <alignment horizontal="center" vertical="center"/>
      <protection locked="0"/>
    </xf>
    <xf numFmtId="0" fontId="0" fillId="0" borderId="0" xfId="0" applyFont="1" applyBorder="1" applyAlignment="1">
      <alignment horizontal="right"/>
    </xf>
    <xf numFmtId="164" fontId="1" fillId="0" borderId="0" xfId="0" applyNumberFormat="1" applyFont="1" applyBorder="1" applyAlignment="1">
      <alignment horizontal="center"/>
    </xf>
    <xf numFmtId="2" fontId="0" fillId="0" borderId="0" xfId="0" applyNumberFormat="1" applyFont="1" applyBorder="1" applyAlignment="1">
      <alignment horizontal="center" vertical="center"/>
    </xf>
    <xf numFmtId="0" fontId="1" fillId="0" borderId="0" xfId="0" applyFont="1" applyBorder="1" applyAlignment="1">
      <alignment horizontal="center" vertical="center"/>
    </xf>
    <xf numFmtId="166" fontId="0" fillId="0" borderId="0" xfId="0" applyNumberFormat="1"/>
    <xf numFmtId="165" fontId="1" fillId="0" borderId="0" xfId="0" applyNumberFormat="1" applyFont="1" applyAlignment="1">
      <alignment horizontal="center" vertical="center"/>
    </xf>
    <xf numFmtId="0" fontId="0" fillId="0" borderId="0" xfId="0" quotePrefix="1" applyAlignment="1">
      <alignment horizontal="center" vertical="center"/>
    </xf>
    <xf numFmtId="0" fontId="0" fillId="0" borderId="0" xfId="0" applyAlignment="1">
      <alignment horizontal="center" vertical="center"/>
    </xf>
    <xf numFmtId="0" fontId="0" fillId="0" borderId="0" xfId="0" applyFont="1" applyBorder="1" applyAlignment="1">
      <alignment vertical="center" wrapText="1"/>
    </xf>
    <xf numFmtId="2" fontId="1" fillId="0" borderId="0" xfId="0" applyNumberFormat="1" applyFont="1" applyAlignment="1">
      <alignment horizontal="center" vertical="center"/>
    </xf>
    <xf numFmtId="2" fontId="0" fillId="0" borderId="0" xfId="0" applyNumberFormat="1" applyFont="1" applyBorder="1" applyAlignment="1">
      <alignment horizontal="center"/>
    </xf>
    <xf numFmtId="0" fontId="0" fillId="3" borderId="2" xfId="0" applyFont="1" applyFill="1" applyBorder="1" applyAlignment="1">
      <alignment horizontal="right"/>
    </xf>
    <xf numFmtId="2" fontId="1" fillId="3" borderId="3" xfId="0" applyNumberFormat="1" applyFont="1" applyFill="1" applyBorder="1" applyAlignment="1">
      <alignment horizontal="center" vertical="center"/>
    </xf>
    <xf numFmtId="0" fontId="0" fillId="3" borderId="4" xfId="0" applyFont="1" applyFill="1" applyBorder="1"/>
    <xf numFmtId="0" fontId="0" fillId="3" borderId="5" xfId="0" applyFont="1" applyFill="1" applyBorder="1" applyAlignment="1">
      <alignment horizontal="right"/>
    </xf>
    <xf numFmtId="2" fontId="1" fillId="3" borderId="6" xfId="0" applyNumberFormat="1" applyFont="1" applyFill="1" applyBorder="1" applyAlignment="1">
      <alignment horizontal="center" vertical="center"/>
    </xf>
    <xf numFmtId="0" fontId="0" fillId="3" borderId="7" xfId="0" applyFont="1" applyFill="1" applyBorder="1"/>
    <xf numFmtId="0" fontId="10" fillId="0" borderId="0" xfId="0" applyFont="1"/>
    <xf numFmtId="0" fontId="1" fillId="2" borderId="0" xfId="0" applyFont="1" applyFill="1" applyAlignment="1" applyProtection="1">
      <alignment horizontal="center" vertical="center"/>
      <protection locked="0"/>
    </xf>
    <xf numFmtId="0" fontId="1" fillId="2" borderId="0" xfId="0" applyFont="1" applyFill="1" applyBorder="1" applyAlignment="1" applyProtection="1">
      <alignment horizontal="center"/>
      <protection locked="0"/>
    </xf>
    <xf numFmtId="0" fontId="0" fillId="0" borderId="0" xfId="0" applyFont="1" applyBorder="1" applyAlignment="1">
      <alignment horizontal="center" vertical="center"/>
    </xf>
    <xf numFmtId="0" fontId="3" fillId="0" borderId="16" xfId="0" applyFont="1" applyBorder="1" applyAlignment="1">
      <alignment horizontal="right"/>
    </xf>
    <xf numFmtId="165" fontId="3" fillId="0" borderId="17" xfId="0" applyNumberFormat="1" applyFont="1" applyBorder="1" applyAlignment="1">
      <alignment horizontal="center"/>
    </xf>
    <xf numFmtId="0" fontId="3" fillId="0" borderId="18" xfId="0" applyFont="1" applyBorder="1"/>
    <xf numFmtId="0" fontId="10" fillId="0" borderId="19" xfId="0" applyFont="1" applyFill="1" applyBorder="1" applyAlignment="1" applyProtection="1">
      <alignment horizontal="center"/>
    </xf>
    <xf numFmtId="0" fontId="12" fillId="0" borderId="0" xfId="0" applyFont="1" applyAlignment="1">
      <alignment vertical="center" wrapText="1"/>
    </xf>
    <xf numFmtId="0" fontId="0" fillId="4" borderId="16" xfId="0" applyFont="1" applyFill="1" applyBorder="1" applyAlignment="1">
      <alignment horizontal="right"/>
    </xf>
    <xf numFmtId="1" fontId="0" fillId="4" borderId="17" xfId="0" applyNumberFormat="1" applyFont="1" applyFill="1" applyBorder="1" applyAlignment="1">
      <alignment horizontal="center" vertical="center"/>
    </xf>
    <xf numFmtId="0" fontId="0" fillId="4" borderId="18" xfId="0" applyFont="1" applyFill="1" applyBorder="1" applyAlignment="1">
      <alignment vertical="center"/>
    </xf>
    <xf numFmtId="0" fontId="0" fillId="0" borderId="16" xfId="0" applyFont="1" applyFill="1" applyBorder="1" applyAlignment="1">
      <alignment horizontal="right"/>
    </xf>
    <xf numFmtId="0" fontId="1" fillId="2" borderId="17" xfId="0" applyFont="1" applyFill="1" applyBorder="1" applyAlignment="1" applyProtection="1">
      <alignment horizontal="center" vertical="center"/>
      <protection locked="0"/>
    </xf>
    <xf numFmtId="0" fontId="0" fillId="0" borderId="18" xfId="0" applyFont="1" applyFill="1" applyBorder="1"/>
    <xf numFmtId="0" fontId="0" fillId="0" borderId="0" xfId="0" applyBorder="1"/>
    <xf numFmtId="0" fontId="0" fillId="0" borderId="0" xfId="0" applyBorder="1" applyAlignment="1">
      <alignment horizontal="center" vertical="center"/>
    </xf>
    <xf numFmtId="1" fontId="0" fillId="0" borderId="0" xfId="0" applyNumberFormat="1" applyBorder="1"/>
    <xf numFmtId="2" fontId="0" fillId="0" borderId="0" xfId="0" applyNumberFormat="1" applyBorder="1"/>
    <xf numFmtId="0" fontId="0" fillId="0" borderId="0" xfId="0" applyBorder="1" applyAlignment="1">
      <alignment horizontal="right"/>
    </xf>
    <xf numFmtId="0" fontId="0" fillId="0" borderId="0" xfId="0" applyFill="1" applyBorder="1"/>
    <xf numFmtId="0" fontId="0" fillId="0" borderId="0" xfId="0" applyFill="1" applyBorder="1" applyAlignment="1">
      <alignment horizontal="center" vertical="center"/>
    </xf>
    <xf numFmtId="2" fontId="10" fillId="0" borderId="0" xfId="0" applyNumberFormat="1" applyFont="1" applyBorder="1" applyAlignment="1">
      <alignment horizontal="center"/>
    </xf>
    <xf numFmtId="166" fontId="1" fillId="0" borderId="0" xfId="0" applyNumberFormat="1" applyFont="1" applyAlignment="1">
      <alignment horizontal="center" vertical="center"/>
    </xf>
    <xf numFmtId="0" fontId="1" fillId="2" borderId="0" xfId="0" applyFont="1" applyFill="1" applyBorder="1" applyProtection="1">
      <protection locked="0"/>
    </xf>
    <xf numFmtId="0" fontId="4" fillId="0" borderId="0" xfId="0" applyFont="1"/>
    <xf numFmtId="2" fontId="10" fillId="0" borderId="0" xfId="0" applyNumberFormat="1" applyFont="1"/>
    <xf numFmtId="0" fontId="15" fillId="0" borderId="0" xfId="0" applyFont="1" applyAlignment="1">
      <alignment vertical="center" wrapText="1"/>
    </xf>
    <xf numFmtId="0" fontId="6" fillId="0" borderId="0" xfId="0" applyFont="1" applyBorder="1" applyAlignment="1">
      <alignment horizontal="center"/>
    </xf>
    <xf numFmtId="0" fontId="3" fillId="0" borderId="0" xfId="0" applyFont="1" applyFill="1" applyBorder="1" applyAlignment="1">
      <alignment horizontal="center"/>
    </xf>
    <xf numFmtId="0" fontId="1" fillId="0" borderId="0" xfId="0" applyFont="1" applyBorder="1" applyAlignment="1">
      <alignment horizont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0" fontId="0" fillId="0" borderId="12" xfId="0" applyFont="1" applyBorder="1" applyAlignment="1">
      <alignment horizontal="center" vertical="center"/>
    </xf>
    <xf numFmtId="0" fontId="3" fillId="0" borderId="1" xfId="0" applyFont="1" applyFill="1" applyBorder="1" applyAlignment="1">
      <alignment horizontal="center"/>
    </xf>
    <xf numFmtId="0" fontId="5" fillId="0" borderId="0" xfId="0" applyFont="1" applyBorder="1" applyAlignment="1">
      <alignment horizontal="center"/>
    </xf>
    <xf numFmtId="0" fontId="0" fillId="0" borderId="0" xfId="0" applyAlignment="1">
      <alignment horizontal="center"/>
    </xf>
    <xf numFmtId="0" fontId="0" fillId="0" borderId="0" xfId="0" applyAlignment="1">
      <alignment horizontal="left" vertical="top" wrapText="1"/>
    </xf>
    <xf numFmtId="0" fontId="0" fillId="0" borderId="0" xfId="0" applyAlignment="1">
      <alignment horizontal="left" vertical="top"/>
    </xf>
  </cellXfs>
  <cellStyles count="1">
    <cellStyle name="Normal" xfId="0" builtinId="0"/>
  </cellStyles>
  <dxfs count="14">
    <dxf>
      <fill>
        <patternFill>
          <bgColor rgb="FFFFFFCC"/>
        </patternFill>
      </fill>
    </dxf>
    <dxf>
      <font>
        <b val="0"/>
        <i val="0"/>
        <strike/>
        <u val="none"/>
      </font>
      <fill>
        <patternFill>
          <bgColor rgb="FFFF9999"/>
        </patternFill>
      </fill>
    </dxf>
    <dxf>
      <fill>
        <patternFill>
          <bgColor theme="9" tint="0.59996337778862885"/>
        </patternFill>
      </fill>
    </dxf>
    <dxf>
      <fill>
        <patternFill>
          <bgColor rgb="FFFF9999"/>
        </patternFill>
      </fill>
    </dxf>
    <dxf>
      <fill>
        <patternFill>
          <bgColor rgb="FFFF9999"/>
        </patternFill>
      </fill>
    </dxf>
    <dxf>
      <fill>
        <patternFill>
          <bgColor rgb="FFCCECFF"/>
        </patternFill>
      </fill>
      <border>
        <left style="thin">
          <color auto="1"/>
        </left>
        <right style="thin">
          <color auto="1"/>
        </right>
        <top style="thin">
          <color auto="1"/>
        </top>
        <bottom style="thin">
          <color auto="1"/>
        </bottom>
        <vertical/>
        <horizontal/>
      </border>
    </dxf>
    <dxf>
      <font>
        <color theme="0"/>
      </font>
      <fill>
        <patternFill>
          <bgColor theme="0"/>
        </patternFill>
      </fill>
      <border>
        <left style="thin">
          <color theme="2" tint="-9.9948118533890809E-2"/>
        </left>
        <right style="thin">
          <color theme="2" tint="-9.9948118533890809E-2"/>
        </right>
        <bottom style="thin">
          <color theme="2" tint="-9.9948118533890809E-2"/>
        </bottom>
        <vertical/>
        <horizontal/>
      </border>
    </dxf>
    <dxf>
      <font>
        <color theme="0"/>
      </font>
      <fill>
        <patternFill patternType="solid">
          <bgColor theme="0"/>
        </patternFill>
      </fill>
      <border>
        <left style="thin">
          <color theme="2" tint="-9.9948118533890809E-2"/>
        </left>
        <right style="thin">
          <color theme="2" tint="-9.9948118533890809E-2"/>
        </right>
        <top style="thin">
          <color theme="2" tint="-9.9948118533890809E-2"/>
        </top>
        <bottom style="thin">
          <color theme="2" tint="-9.9948118533890809E-2"/>
        </bottom>
        <vertical/>
        <horizontal/>
      </border>
    </dxf>
    <dxf>
      <font>
        <b/>
        <i val="0"/>
      </font>
      <fill>
        <patternFill>
          <bgColor rgb="FFFF9999"/>
        </patternFill>
      </fill>
      <border>
        <left style="thin">
          <color auto="1"/>
        </left>
        <right style="thin">
          <color auto="1"/>
        </right>
        <top style="thin">
          <color auto="1"/>
        </top>
        <bottom style="thin">
          <color auto="1"/>
        </bottom>
        <vertical/>
        <horizontal/>
      </border>
    </dxf>
    <dxf>
      <font>
        <color theme="0"/>
      </font>
      <fill>
        <patternFill>
          <bgColor theme="0"/>
        </patternFill>
      </fill>
      <border>
        <left style="thin">
          <color theme="2" tint="-9.9948118533890809E-2"/>
        </left>
        <right style="thin">
          <color theme="2" tint="-9.9948118533890809E-2"/>
        </right>
        <bottom style="thin">
          <color theme="2" tint="-9.9948118533890809E-2"/>
        </bottom>
        <vertical/>
        <horizontal/>
      </border>
    </dxf>
    <dxf>
      <font>
        <color theme="0"/>
      </font>
      <fill>
        <patternFill patternType="solid">
          <bgColor theme="0"/>
        </patternFill>
      </fill>
      <border>
        <left style="thin">
          <color theme="2" tint="-9.9948118533890809E-2"/>
        </left>
        <right style="thin">
          <color theme="2" tint="-9.9948118533890809E-2"/>
        </right>
        <top style="thin">
          <color theme="2" tint="-9.9948118533890809E-2"/>
        </top>
        <bottom style="thin">
          <color theme="2" tint="-9.9948118533890809E-2"/>
        </bottom>
        <vertical/>
        <horizontal/>
      </border>
    </dxf>
    <dxf>
      <fill>
        <patternFill>
          <bgColor rgb="FFFF9999"/>
        </patternFill>
      </fill>
    </dxf>
    <dxf>
      <fill>
        <patternFill>
          <bgColor rgb="FFFF9999"/>
        </patternFill>
      </fill>
    </dxf>
    <dxf>
      <fill>
        <patternFill>
          <bgColor theme="9" tint="0.59996337778862885"/>
        </patternFill>
      </fill>
    </dxf>
  </dxfs>
  <tableStyles count="0" defaultTableStyle="TableStyleMedium2" defaultPivotStyle="PivotStyleLight16"/>
  <colors>
    <mruColors>
      <color rgb="FFFF9999"/>
      <color rgb="FFFFFFCC"/>
      <color rgb="FFFFCCCC"/>
      <color rgb="FFCCEC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Sheet2!$B$7</c:f>
          <c:strCache>
            <c:ptCount val="1"/>
            <c:pt idx="0">
              <c:v>Simulated Beam Caustic After Lens</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3"/>
          <c:order val="0"/>
          <c:tx>
            <c:strRef>
              <c:f>Sheet2!$B$6</c:f>
              <c:strCache>
                <c:ptCount val="1"/>
                <c:pt idx="0">
                  <c:v>Lens Location</c:v>
                </c:pt>
              </c:strCache>
            </c:strRef>
          </c:tx>
          <c:spPr>
            <a:ln w="19050" cap="rnd">
              <a:noFill/>
              <a:round/>
            </a:ln>
            <a:effectLst/>
          </c:spPr>
          <c:marker>
            <c:symbol val="diamond"/>
            <c:size val="7"/>
            <c:spPr>
              <a:solidFill>
                <a:srgbClr val="00B0F0"/>
              </a:solidFill>
              <a:ln w="9525">
                <a:noFill/>
              </a:ln>
              <a:effectLst/>
            </c:spPr>
          </c:marker>
          <c:errBars>
            <c:errDir val="y"/>
            <c:errBarType val="both"/>
            <c:errValType val="cust"/>
            <c:noEndCap val="1"/>
            <c:plus>
              <c:numRef>
                <c:f>Sheet2!$P$2</c:f>
                <c:numCache>
                  <c:formatCode>General</c:formatCode>
                  <c:ptCount val="1"/>
                  <c:pt idx="0">
                    <c:v>1000.2792560170357</c:v>
                  </c:pt>
                </c:numCache>
              </c:numRef>
            </c:plus>
            <c:minus>
              <c:numRef>
                <c:f>Sheet2!$P$2</c:f>
                <c:numCache>
                  <c:formatCode>General</c:formatCode>
                  <c:ptCount val="1"/>
                  <c:pt idx="0">
                    <c:v>1000.2792560170357</c:v>
                  </c:pt>
                </c:numCache>
              </c:numRef>
            </c:minus>
            <c:spPr>
              <a:noFill/>
              <a:ln w="9525" cap="flat" cmpd="sng" algn="ctr">
                <a:solidFill>
                  <a:schemeClr val="tx1">
                    <a:lumMod val="65000"/>
                    <a:lumOff val="35000"/>
                  </a:schemeClr>
                </a:solidFill>
                <a:round/>
              </a:ln>
              <a:effectLst/>
            </c:spPr>
          </c:errBars>
          <c:errBars>
            <c:errDir val="x"/>
            <c:errBarType val="both"/>
            <c:errValType val="fixedVal"/>
            <c:noEndCap val="0"/>
            <c:val val="0"/>
            <c:spPr>
              <a:noFill/>
              <a:ln w="9525" cap="flat" cmpd="sng" algn="ctr">
                <a:noFill/>
                <a:round/>
              </a:ln>
              <a:effectLst/>
            </c:spPr>
          </c:errBars>
          <c:xVal>
            <c:numRef>
              <c:f>Sheet2!$M$2</c:f>
              <c:numCache>
                <c:formatCode>0.00</c:formatCode>
                <c:ptCount val="1"/>
                <c:pt idx="0">
                  <c:v>-124.93716739739179</c:v>
                </c:pt>
              </c:numCache>
            </c:numRef>
          </c:xVal>
          <c:yVal>
            <c:numLit>
              <c:formatCode>General</c:formatCode>
              <c:ptCount val="1"/>
              <c:pt idx="0">
                <c:v>0</c:v>
              </c:pt>
            </c:numLit>
          </c:yVal>
          <c:smooth val="1"/>
          <c:extLst>
            <c:ext xmlns:c16="http://schemas.microsoft.com/office/drawing/2014/chart" uri="{C3380CC4-5D6E-409C-BE32-E72D297353CC}">
              <c16:uniqueId val="{00000000-B4DF-4F0C-9730-8F018A2CB896}"/>
            </c:ext>
          </c:extLst>
        </c:ser>
        <c:ser>
          <c:idx val="1"/>
          <c:order val="1"/>
          <c:tx>
            <c:v>Beam Size</c:v>
          </c:tx>
          <c:spPr>
            <a:ln w="6350" cap="rnd" cmpd="sng">
              <a:solidFill>
                <a:srgbClr val="FF0066"/>
              </a:solidFill>
              <a:round/>
            </a:ln>
            <a:effectLst/>
          </c:spPr>
          <c:marker>
            <c:symbol val="none"/>
          </c:marker>
          <c:xVal>
            <c:numRef>
              <c:f>Sheet2!$M$2:$M$62</c:f>
              <c:numCache>
                <c:formatCode>0.00</c:formatCode>
                <c:ptCount val="61"/>
                <c:pt idx="0">
                  <c:v>-124.93716739739179</c:v>
                </c:pt>
                <c:pt idx="1">
                  <c:v>-122.02154794076858</c:v>
                </c:pt>
                <c:pt idx="2">
                  <c:v>-119.10592848414541</c:v>
                </c:pt>
                <c:pt idx="3">
                  <c:v>-116.1903090275222</c:v>
                </c:pt>
                <c:pt idx="4">
                  <c:v>-113.274689570899</c:v>
                </c:pt>
                <c:pt idx="5">
                  <c:v>-110.3590701142758</c:v>
                </c:pt>
                <c:pt idx="6">
                  <c:v>-107.44345065765262</c:v>
                </c:pt>
                <c:pt idx="7">
                  <c:v>-104.52783120102941</c:v>
                </c:pt>
                <c:pt idx="8">
                  <c:v>-101.61221174440621</c:v>
                </c:pt>
                <c:pt idx="9">
                  <c:v>-98.69659228778302</c:v>
                </c:pt>
                <c:pt idx="10">
                  <c:v>-95.780972831159829</c:v>
                </c:pt>
                <c:pt idx="11">
                  <c:v>-92.865353374536625</c:v>
                </c:pt>
                <c:pt idx="12">
                  <c:v>-89.949733917913434</c:v>
                </c:pt>
                <c:pt idx="13">
                  <c:v>-87.034114461290244</c:v>
                </c:pt>
                <c:pt idx="14">
                  <c:v>-84.118495004667039</c:v>
                </c:pt>
                <c:pt idx="15">
                  <c:v>-81.202875548043835</c:v>
                </c:pt>
                <c:pt idx="16">
                  <c:v>-78.287256091420645</c:v>
                </c:pt>
                <c:pt idx="17">
                  <c:v>-75.371636634797454</c:v>
                </c:pt>
                <c:pt idx="18">
                  <c:v>-72.45601717817425</c:v>
                </c:pt>
                <c:pt idx="19">
                  <c:v>-69.540397721551059</c:v>
                </c:pt>
                <c:pt idx="20">
                  <c:v>-66.624778264927855</c:v>
                </c:pt>
                <c:pt idx="21">
                  <c:v>-63.709158808304664</c:v>
                </c:pt>
                <c:pt idx="22">
                  <c:v>-60.793539351681474</c:v>
                </c:pt>
                <c:pt idx="23">
                  <c:v>-57.87791989505827</c:v>
                </c:pt>
                <c:pt idx="24">
                  <c:v>-54.962300438435079</c:v>
                </c:pt>
                <c:pt idx="25">
                  <c:v>-52.046680981811875</c:v>
                </c:pt>
                <c:pt idx="26">
                  <c:v>-49.131061525188684</c:v>
                </c:pt>
                <c:pt idx="27">
                  <c:v>-46.21544206856548</c:v>
                </c:pt>
                <c:pt idx="28">
                  <c:v>-43.299822611942275</c:v>
                </c:pt>
                <c:pt idx="29">
                  <c:v>-40.384203155319099</c:v>
                </c:pt>
                <c:pt idx="30">
                  <c:v>-37.468583698695895</c:v>
                </c:pt>
                <c:pt idx="31">
                  <c:v>-34.552964242072704</c:v>
                </c:pt>
                <c:pt idx="32">
                  <c:v>-31.6373447854495</c:v>
                </c:pt>
                <c:pt idx="33">
                  <c:v>-28.721725328826309</c:v>
                </c:pt>
                <c:pt idx="34">
                  <c:v>-25.806105872203105</c:v>
                </c:pt>
                <c:pt idx="35">
                  <c:v>-22.8904864155799</c:v>
                </c:pt>
                <c:pt idx="36">
                  <c:v>-19.974866958956724</c:v>
                </c:pt>
                <c:pt idx="37">
                  <c:v>-17.05924750233352</c:v>
                </c:pt>
                <c:pt idx="38">
                  <c:v>-14.143628045710329</c:v>
                </c:pt>
                <c:pt idx="39">
                  <c:v>-11.228008589087125</c:v>
                </c:pt>
                <c:pt idx="40">
                  <c:v>-8.3123891324639203</c:v>
                </c:pt>
                <c:pt idx="41">
                  <c:v>-5.39676967584073</c:v>
                </c:pt>
                <c:pt idx="42">
                  <c:v>-2.4811502192175396</c:v>
                </c:pt>
                <c:pt idx="43">
                  <c:v>0.43446923740565069</c:v>
                </c:pt>
                <c:pt idx="44">
                  <c:v>3.350088694028841</c:v>
                </c:pt>
                <c:pt idx="45">
                  <c:v>6.2657081506520456</c:v>
                </c:pt>
                <c:pt idx="46">
                  <c:v>9.1813276072752501</c:v>
                </c:pt>
                <c:pt idx="47">
                  <c:v>12.096947063898455</c:v>
                </c:pt>
                <c:pt idx="48">
                  <c:v>15.012566520521631</c:v>
                </c:pt>
                <c:pt idx="49">
                  <c:v>17.928185977144835</c:v>
                </c:pt>
                <c:pt idx="50">
                  <c:v>20.84380543376804</c:v>
                </c:pt>
                <c:pt idx="51">
                  <c:v>23.759424890391244</c:v>
                </c:pt>
                <c:pt idx="52">
                  <c:v>26.675044347014421</c:v>
                </c:pt>
                <c:pt idx="53">
                  <c:v>29.590663803637625</c:v>
                </c:pt>
                <c:pt idx="54">
                  <c:v>32.50628326026083</c:v>
                </c:pt>
                <c:pt idx="55">
                  <c:v>35.421902716884006</c:v>
                </c:pt>
                <c:pt idx="56">
                  <c:v>38.337522173507239</c:v>
                </c:pt>
                <c:pt idx="57">
                  <c:v>41.253141630130415</c:v>
                </c:pt>
                <c:pt idx="58">
                  <c:v>44.168761086753591</c:v>
                </c:pt>
                <c:pt idx="59">
                  <c:v>47.084380543376795</c:v>
                </c:pt>
                <c:pt idx="60">
                  <c:v>50</c:v>
                </c:pt>
              </c:numCache>
            </c:numRef>
          </c:xVal>
          <c:yVal>
            <c:numRef>
              <c:f>Sheet2!$P$2:$P$62</c:f>
              <c:numCache>
                <c:formatCode>0.00</c:formatCode>
                <c:ptCount val="61"/>
                <c:pt idx="0">
                  <c:v>1000.2792560170357</c:v>
                </c:pt>
                <c:pt idx="1">
                  <c:v>980.85288868057421</c:v>
                </c:pt>
                <c:pt idx="2">
                  <c:v>961.42702474451028</c:v>
                </c:pt>
                <c:pt idx="3">
                  <c:v>942.00169535206044</c:v>
                </c:pt>
                <c:pt idx="4">
                  <c:v>922.57693426849346</c:v>
                </c:pt>
                <c:pt idx="5">
                  <c:v>903.15277816290256</c:v>
                </c:pt>
                <c:pt idx="6">
                  <c:v>883.72926692709893</c:v>
                </c:pt>
                <c:pt idx="7">
                  <c:v>864.30644403745305</c:v>
                </c:pt>
                <c:pt idx="8">
                  <c:v>844.88435696658951</c:v>
                </c:pt>
                <c:pt idx="9">
                  <c:v>825.46305765312661</c:v>
                </c:pt>
                <c:pt idx="10">
                  <c:v>806.04260303923866</c:v>
                </c:pt>
                <c:pt idx="11">
                  <c:v>786.62305568773877</c:v>
                </c:pt>
                <c:pt idx="12">
                  <c:v>767.20448449274602</c:v>
                </c:pt>
                <c:pt idx="13">
                  <c:v>747.78696550091456</c:v>
                </c:pt>
                <c:pt idx="14">
                  <c:v>728.37058286381455</c:v>
                </c:pt>
                <c:pt idx="15">
                  <c:v>708.95542994655239</c:v>
                </c:pt>
                <c:pt idx="16">
                  <c:v>689.54161062335481</c:v>
                </c:pt>
                <c:pt idx="17">
                  <c:v>670.12924079793777</c:v>
                </c:pt>
                <c:pt idx="18">
                  <c:v>650.71845019548334</c:v>
                </c:pt>
                <c:pt idx="19">
                  <c:v>631.30938448452059</c:v>
                </c:pt>
                <c:pt idx="20">
                  <c:v>611.90220780175127</c:v>
                </c:pt>
                <c:pt idx="21">
                  <c:v>592.49710577192889</c:v>
                </c:pt>
                <c:pt idx="22">
                  <c:v>573.09428913974364</c:v>
                </c:pt>
                <c:pt idx="23">
                  <c:v>553.69399816332191</c:v>
                </c:pt>
                <c:pt idx="24">
                  <c:v>534.29650796220119</c:v>
                </c:pt>
                <c:pt idx="25">
                  <c:v>514.90213507048247</c:v>
                </c:pt>
                <c:pt idx="26">
                  <c:v>495.51124552395527</c:v>
                </c:pt>
                <c:pt idx="27">
                  <c:v>476.12426491650535</c:v>
                </c:pt>
                <c:pt idx="28">
                  <c:v>456.74169100804085</c:v>
                </c:pt>
                <c:pt idx="29">
                  <c:v>437.36410967123044</c:v>
                </c:pt>
                <c:pt idx="30">
                  <c:v>417.99221525424656</c:v>
                </c:pt>
                <c:pt idx="31">
                  <c:v>398.62683685223442</c:v>
                </c:pt>
                <c:pt idx="32">
                  <c:v>379.26897258476652</c:v>
                </c:pt>
                <c:pt idx="33">
                  <c:v>359.91983487050561</c:v>
                </c:pt>
                <c:pt idx="34">
                  <c:v>340.5809110357489</c:v>
                </c:pt>
                <c:pt idx="35">
                  <c:v>321.25404565809049</c:v>
                </c:pt>
                <c:pt idx="36">
                  <c:v>301.94155428238338</c:v>
                </c:pt>
                <c:pt idx="37">
                  <c:v>282.64638333835694</c:v>
                </c:pt>
                <c:pt idx="38">
                  <c:v>263.37233963927662</c:v>
                </c:pt>
                <c:pt idx="39">
                  <c:v>244.12442733348212</c:v>
                </c:pt>
                <c:pt idx="40">
                  <c:v>224.90935555408942</c:v>
                </c:pt>
                <c:pt idx="41">
                  <c:v>205.73632608664946</c:v>
                </c:pt>
                <c:pt idx="42">
                  <c:v>186.61829757161965</c:v>
                </c:pt>
                <c:pt idx="43">
                  <c:v>167.57409575005346</c:v>
                </c:pt>
                <c:pt idx="44">
                  <c:v>148.63210153054985</c:v>
                </c:pt>
                <c:pt idx="45">
                  <c:v>129.83705597920928</c:v>
                </c:pt>
                <c:pt idx="46">
                  <c:v>111.26345341723879</c:v>
                </c:pt>
                <c:pt idx="47">
                  <c:v>93.044002968127415</c:v>
                </c:pt>
                <c:pt idx="48">
                  <c:v>75.435749955553916</c:v>
                </c:pt>
                <c:pt idx="49">
                  <c:v>58.988589705144349</c:v>
                </c:pt>
                <c:pt idx="50">
                  <c:v>44.994338760203611</c:v>
                </c:pt>
                <c:pt idx="51">
                  <c:v>36.401411875848339</c:v>
                </c:pt>
                <c:pt idx="52">
                  <c:v>37.166793158186643</c:v>
                </c:pt>
                <c:pt idx="53">
                  <c:v>46.83389479632028</c:v>
                </c:pt>
                <c:pt idx="54">
                  <c:v>61.32856064627029</c:v>
                </c:pt>
                <c:pt idx="55">
                  <c:v>78.004528465434461</c:v>
                </c:pt>
                <c:pt idx="56">
                  <c:v>95.728553902727683</c:v>
                </c:pt>
                <c:pt idx="57">
                  <c:v>114.01289867607581</c:v>
                </c:pt>
                <c:pt idx="58">
                  <c:v>132.62602142021714</c:v>
                </c:pt>
                <c:pt idx="59">
                  <c:v>151.4467481064278</c:v>
                </c:pt>
                <c:pt idx="60">
                  <c:v>170.40630542115741</c:v>
                </c:pt>
              </c:numCache>
            </c:numRef>
          </c:yVal>
          <c:smooth val="1"/>
          <c:extLst>
            <c:ext xmlns:c16="http://schemas.microsoft.com/office/drawing/2014/chart" uri="{C3380CC4-5D6E-409C-BE32-E72D297353CC}">
              <c16:uniqueId val="{00000000-4644-482E-B97E-DB3BE0423067}"/>
            </c:ext>
          </c:extLst>
        </c:ser>
        <c:ser>
          <c:idx val="4"/>
          <c:order val="2"/>
          <c:tx>
            <c:v>Beam Size Along Stage</c:v>
          </c:tx>
          <c:spPr>
            <a:ln w="25400" cap="rnd">
              <a:solidFill>
                <a:srgbClr val="FF0066"/>
              </a:solidFill>
              <a:round/>
            </a:ln>
            <a:effectLst/>
          </c:spPr>
          <c:marker>
            <c:symbol val="none"/>
          </c:marker>
          <c:xVal>
            <c:numRef>
              <c:f>Sheet2!$S$2:$S$62</c:f>
              <c:numCache>
                <c:formatCode>0.00</c:formatCode>
                <c:ptCount val="61"/>
                <c:pt idx="0">
                  <c:v>0</c:v>
                </c:pt>
                <c:pt idx="1">
                  <c:v>0.83333333333333337</c:v>
                </c:pt>
                <c:pt idx="2">
                  <c:v>1.6666666666666667</c:v>
                </c:pt>
                <c:pt idx="3">
                  <c:v>2.5</c:v>
                </c:pt>
                <c:pt idx="4">
                  <c:v>3.3333333333333335</c:v>
                </c:pt>
                <c:pt idx="5">
                  <c:v>4.166666666666667</c:v>
                </c:pt>
                <c:pt idx="6">
                  <c:v>5</c:v>
                </c:pt>
                <c:pt idx="7">
                  <c:v>5.833333333333333</c:v>
                </c:pt>
                <c:pt idx="8">
                  <c:v>6.666666666666667</c:v>
                </c:pt>
                <c:pt idx="9">
                  <c:v>7.5</c:v>
                </c:pt>
                <c:pt idx="10">
                  <c:v>8.3333333333333339</c:v>
                </c:pt>
                <c:pt idx="11">
                  <c:v>9.1666666666666661</c:v>
                </c:pt>
                <c:pt idx="12">
                  <c:v>10</c:v>
                </c:pt>
                <c:pt idx="13">
                  <c:v>10.833333333333334</c:v>
                </c:pt>
                <c:pt idx="14">
                  <c:v>11.666666666666666</c:v>
                </c:pt>
                <c:pt idx="15">
                  <c:v>12.5</c:v>
                </c:pt>
                <c:pt idx="16">
                  <c:v>13.333333333333334</c:v>
                </c:pt>
                <c:pt idx="17">
                  <c:v>14.166666666666666</c:v>
                </c:pt>
                <c:pt idx="18">
                  <c:v>15</c:v>
                </c:pt>
                <c:pt idx="19">
                  <c:v>15.833333333333334</c:v>
                </c:pt>
                <c:pt idx="20">
                  <c:v>16.666666666666668</c:v>
                </c:pt>
                <c:pt idx="21">
                  <c:v>17.5</c:v>
                </c:pt>
                <c:pt idx="22">
                  <c:v>18.333333333333332</c:v>
                </c:pt>
                <c:pt idx="23">
                  <c:v>19.166666666666668</c:v>
                </c:pt>
                <c:pt idx="24">
                  <c:v>20</c:v>
                </c:pt>
                <c:pt idx="25">
                  <c:v>20.833333333333332</c:v>
                </c:pt>
                <c:pt idx="26">
                  <c:v>21.666666666666668</c:v>
                </c:pt>
                <c:pt idx="27">
                  <c:v>22.5</c:v>
                </c:pt>
                <c:pt idx="28">
                  <c:v>23.333333333333332</c:v>
                </c:pt>
                <c:pt idx="29">
                  <c:v>24.166666666666668</c:v>
                </c:pt>
                <c:pt idx="30">
                  <c:v>25</c:v>
                </c:pt>
                <c:pt idx="31">
                  <c:v>25.833333333333332</c:v>
                </c:pt>
                <c:pt idx="32">
                  <c:v>26.666666666666668</c:v>
                </c:pt>
                <c:pt idx="33">
                  <c:v>27.5</c:v>
                </c:pt>
                <c:pt idx="34">
                  <c:v>28.333333333333332</c:v>
                </c:pt>
                <c:pt idx="35">
                  <c:v>29.166666666666668</c:v>
                </c:pt>
                <c:pt idx="36">
                  <c:v>30</c:v>
                </c:pt>
                <c:pt idx="37">
                  <c:v>30.833333333333332</c:v>
                </c:pt>
                <c:pt idx="38">
                  <c:v>31.666666666666668</c:v>
                </c:pt>
                <c:pt idx="39">
                  <c:v>32.5</c:v>
                </c:pt>
                <c:pt idx="40">
                  <c:v>33.333333333333336</c:v>
                </c:pt>
                <c:pt idx="41">
                  <c:v>34.166666666666664</c:v>
                </c:pt>
                <c:pt idx="42">
                  <c:v>35</c:v>
                </c:pt>
                <c:pt idx="43">
                  <c:v>35.833333333333336</c:v>
                </c:pt>
                <c:pt idx="44">
                  <c:v>36.666666666666664</c:v>
                </c:pt>
                <c:pt idx="45">
                  <c:v>37.5</c:v>
                </c:pt>
                <c:pt idx="46">
                  <c:v>38.333333333333336</c:v>
                </c:pt>
                <c:pt idx="47">
                  <c:v>39.166666666666664</c:v>
                </c:pt>
                <c:pt idx="48">
                  <c:v>40</c:v>
                </c:pt>
                <c:pt idx="49">
                  <c:v>40.833333333333336</c:v>
                </c:pt>
                <c:pt idx="50">
                  <c:v>41.666666666666664</c:v>
                </c:pt>
                <c:pt idx="51">
                  <c:v>42.5</c:v>
                </c:pt>
                <c:pt idx="52">
                  <c:v>43.333333333333336</c:v>
                </c:pt>
                <c:pt idx="53">
                  <c:v>44.166666666666664</c:v>
                </c:pt>
                <c:pt idx="54">
                  <c:v>45</c:v>
                </c:pt>
                <c:pt idx="55">
                  <c:v>45.833333333333336</c:v>
                </c:pt>
                <c:pt idx="56">
                  <c:v>46.666666666666664</c:v>
                </c:pt>
                <c:pt idx="57">
                  <c:v>47.5</c:v>
                </c:pt>
                <c:pt idx="58">
                  <c:v>48.333333333333336</c:v>
                </c:pt>
                <c:pt idx="59">
                  <c:v>49.166666666666664</c:v>
                </c:pt>
                <c:pt idx="60">
                  <c:v>50</c:v>
                </c:pt>
              </c:numCache>
            </c:numRef>
          </c:xVal>
          <c:yVal>
            <c:numRef>
              <c:f>Sheet2!$W$2:$W$62</c:f>
              <c:numCache>
                <c:formatCode>0.00</c:formatCode>
                <c:ptCount val="61"/>
                <c:pt idx="0">
                  <c:v>170.40630542115741</c:v>
                </c:pt>
                <c:pt idx="1">
                  <c:v>164.97595878365476</c:v>
                </c:pt>
                <c:pt idx="2">
                  <c:v>159.55426049203936</c:v>
                </c:pt>
                <c:pt idx="3">
                  <c:v>154.14212312348315</c:v>
                </c:pt>
                <c:pt idx="4">
                  <c:v>148.74059034489056</c:v>
                </c:pt>
                <c:pt idx="5">
                  <c:v>143.35086092017781</c:v>
                </c:pt>
                <c:pt idx="6">
                  <c:v>137.9743180894321</c:v>
                </c:pt>
                <c:pt idx="7">
                  <c:v>132.61256574401037</c:v>
                </c:pt>
                <c:pt idx="8">
                  <c:v>127.26747325791165</c:v>
                </c:pt>
                <c:pt idx="9">
                  <c:v>121.94123142307134</c:v>
                </c:pt>
                <c:pt idx="10">
                  <c:v>116.63642273224474</c:v>
                </c:pt>
                <c:pt idx="11">
                  <c:v>111.35611033909562</c:v>
                </c:pt>
                <c:pt idx="12">
                  <c:v>106.10395151552461</c:v>
                </c:pt>
                <c:pt idx="13">
                  <c:v>100.88434348224118</c:v>
                </c:pt>
                <c:pt idx="14">
                  <c:v>95.702612335060749</c:v>
                </c:pt>
                <c:pt idx="15">
                  <c:v>90.565259735425329</c:v>
                </c:pt>
                <c:pt idx="16">
                  <c:v>85.480287490235071</c:v>
                </c:pt>
                <c:pt idx="17">
                  <c:v>80.457627625723021</c:v>
                </c:pt>
                <c:pt idx="18">
                  <c:v>75.509715614507556</c:v>
                </c:pt>
                <c:pt idx="19">
                  <c:v>70.65225740545138</c:v>
                </c:pt>
                <c:pt idx="20">
                  <c:v>65.905256361435931</c:v>
                </c:pt>
                <c:pt idx="21">
                  <c:v>61.294381234539422</c:v>
                </c:pt>
                <c:pt idx="22">
                  <c:v>56.852761947521778</c:v>
                </c:pt>
                <c:pt idx="23">
                  <c:v>52.62327361991246</c:v>
                </c:pt>
                <c:pt idx="24">
                  <c:v>48.661261051978599</c:v>
                </c:pt>
                <c:pt idx="25">
                  <c:v>45.037370517599058</c:v>
                </c:pt>
                <c:pt idx="26">
                  <c:v>41.839552750815315</c:v>
                </c:pt>
                <c:pt idx="27">
                  <c:v>39.172294047133114</c:v>
                </c:pt>
                <c:pt idx="28">
                  <c:v>37.150048219617702</c:v>
                </c:pt>
                <c:pt idx="29">
                  <c:v>35.88203672874269</c:v>
                </c:pt>
                <c:pt idx="30">
                  <c:v>35.449288457792925</c:v>
                </c:pt>
                <c:pt idx="31">
                  <c:v>35.88203672874269</c:v>
                </c:pt>
                <c:pt idx="32">
                  <c:v>37.150048219617702</c:v>
                </c:pt>
                <c:pt idx="33">
                  <c:v>39.172294047133114</c:v>
                </c:pt>
                <c:pt idx="34">
                  <c:v>41.839552750815315</c:v>
                </c:pt>
                <c:pt idx="35">
                  <c:v>45.037370517599058</c:v>
                </c:pt>
                <c:pt idx="36">
                  <c:v>48.661261051978599</c:v>
                </c:pt>
                <c:pt idx="37">
                  <c:v>52.62327361991246</c:v>
                </c:pt>
                <c:pt idx="38">
                  <c:v>56.852761947521778</c:v>
                </c:pt>
                <c:pt idx="39">
                  <c:v>61.294381234539422</c:v>
                </c:pt>
                <c:pt idx="40">
                  <c:v>65.905256361435931</c:v>
                </c:pt>
                <c:pt idx="41">
                  <c:v>70.65225740545138</c:v>
                </c:pt>
                <c:pt idx="42">
                  <c:v>75.509715614507556</c:v>
                </c:pt>
                <c:pt idx="43">
                  <c:v>80.457627625723021</c:v>
                </c:pt>
                <c:pt idx="44">
                  <c:v>85.480287490235071</c:v>
                </c:pt>
                <c:pt idx="45">
                  <c:v>90.565259735425329</c:v>
                </c:pt>
                <c:pt idx="46">
                  <c:v>95.702612335060749</c:v>
                </c:pt>
                <c:pt idx="47">
                  <c:v>100.88434348224118</c:v>
                </c:pt>
                <c:pt idx="48">
                  <c:v>106.10395151552461</c:v>
                </c:pt>
                <c:pt idx="49">
                  <c:v>111.35611033909562</c:v>
                </c:pt>
                <c:pt idx="50">
                  <c:v>116.63642273224474</c:v>
                </c:pt>
                <c:pt idx="51">
                  <c:v>121.94123142307134</c:v>
                </c:pt>
                <c:pt idx="52">
                  <c:v>127.26747325791165</c:v>
                </c:pt>
                <c:pt idx="53">
                  <c:v>132.61256574401037</c:v>
                </c:pt>
                <c:pt idx="54">
                  <c:v>137.9743180894321</c:v>
                </c:pt>
                <c:pt idx="55">
                  <c:v>143.35086092017781</c:v>
                </c:pt>
                <c:pt idx="56">
                  <c:v>148.74059034489056</c:v>
                </c:pt>
                <c:pt idx="57">
                  <c:v>154.14212312348315</c:v>
                </c:pt>
                <c:pt idx="58">
                  <c:v>159.55426049203945</c:v>
                </c:pt>
                <c:pt idx="59">
                  <c:v>164.97595878365465</c:v>
                </c:pt>
                <c:pt idx="60">
                  <c:v>170.40630542115741</c:v>
                </c:pt>
              </c:numCache>
            </c:numRef>
          </c:yVal>
          <c:smooth val="1"/>
          <c:extLst>
            <c:ext xmlns:c16="http://schemas.microsoft.com/office/drawing/2014/chart" uri="{C3380CC4-5D6E-409C-BE32-E72D297353CC}">
              <c16:uniqueId val="{00000002-4D9C-4A5E-80BA-413552D222D9}"/>
            </c:ext>
          </c:extLst>
        </c:ser>
        <c:ser>
          <c:idx val="0"/>
          <c:order val="3"/>
          <c:tx>
            <c:v>Beam Waist Plane</c:v>
          </c:tx>
          <c:spPr>
            <a:ln w="25400" cap="rnd">
              <a:noFill/>
              <a:round/>
            </a:ln>
            <a:effectLst/>
          </c:spPr>
          <c:marker>
            <c:symbol val="diamond"/>
            <c:size val="5"/>
            <c:spPr>
              <a:solidFill>
                <a:schemeClr val="accent1"/>
              </a:solidFill>
              <a:ln w="9525">
                <a:no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03-4644-482E-B97E-DB3BE042306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x"/>
            <c:errBarType val="both"/>
            <c:errValType val="stdErr"/>
            <c:noEndCap val="0"/>
            <c:spPr>
              <a:noFill/>
              <a:ln w="9525" cap="flat" cmpd="sng" algn="ctr">
                <a:noFill/>
                <a:round/>
              </a:ln>
              <a:effectLst/>
            </c:spPr>
          </c:errBars>
          <c:errBars>
            <c:errDir val="y"/>
            <c:errBarType val="both"/>
            <c:errValType val="cust"/>
            <c:noEndCap val="1"/>
            <c:plus>
              <c:numRef>
                <c:f>Sheet2!$Q$2</c:f>
                <c:numCache>
                  <c:formatCode>General</c:formatCode>
                  <c:ptCount val="1"/>
                  <c:pt idx="0">
                    <c:v>35.449288457792925</c:v>
                  </c:pt>
                </c:numCache>
              </c:numRef>
            </c:plus>
            <c:minus>
              <c:numRef>
                <c:f>Sheet2!$Q$2</c:f>
                <c:numCache>
                  <c:formatCode>General</c:formatCode>
                  <c:ptCount val="1"/>
                  <c:pt idx="0">
                    <c:v>35.449288457792925</c:v>
                  </c:pt>
                </c:numCache>
              </c:numRef>
            </c:minus>
            <c:spPr>
              <a:noFill/>
              <a:ln w="9525" cap="flat" cmpd="sng" algn="ctr">
                <a:solidFill>
                  <a:schemeClr val="tx1">
                    <a:lumMod val="65000"/>
                    <a:lumOff val="35000"/>
                  </a:schemeClr>
                </a:solidFill>
                <a:round/>
              </a:ln>
              <a:effectLst/>
            </c:spPr>
          </c:errBars>
          <c:xVal>
            <c:numRef>
              <c:f>'M2DU Measurement'!$G$11</c:f>
              <c:numCache>
                <c:formatCode>0.00</c:formatCode>
                <c:ptCount val="1"/>
                <c:pt idx="0">
                  <c:v>25</c:v>
                </c:pt>
              </c:numCache>
            </c:numRef>
          </c:xVal>
          <c:yVal>
            <c:numLit>
              <c:formatCode>General</c:formatCode>
              <c:ptCount val="1"/>
              <c:pt idx="0">
                <c:v>0</c:v>
              </c:pt>
            </c:numLit>
          </c:yVal>
          <c:smooth val="1"/>
          <c:extLst>
            <c:ext xmlns:c16="http://schemas.microsoft.com/office/drawing/2014/chart" uri="{C3380CC4-5D6E-409C-BE32-E72D297353CC}">
              <c16:uniqueId val="{00000001-4644-482E-B97E-DB3BE0423067}"/>
            </c:ext>
          </c:extLst>
        </c:ser>
        <c:ser>
          <c:idx val="2"/>
          <c:order val="4"/>
          <c:spPr>
            <a:ln w="6350" cap="rnd" cmpd="sng">
              <a:solidFill>
                <a:srgbClr val="FF0066"/>
              </a:solidFill>
              <a:round/>
            </a:ln>
            <a:effectLst/>
          </c:spPr>
          <c:marker>
            <c:symbol val="none"/>
          </c:marker>
          <c:xVal>
            <c:numRef>
              <c:f>Sheet2!$M$2:$M$62</c:f>
              <c:numCache>
                <c:formatCode>0.00</c:formatCode>
                <c:ptCount val="61"/>
                <c:pt idx="0">
                  <c:v>-124.93716739739179</c:v>
                </c:pt>
                <c:pt idx="1">
                  <c:v>-122.02154794076858</c:v>
                </c:pt>
                <c:pt idx="2">
                  <c:v>-119.10592848414541</c:v>
                </c:pt>
                <c:pt idx="3">
                  <c:v>-116.1903090275222</c:v>
                </c:pt>
                <c:pt idx="4">
                  <c:v>-113.274689570899</c:v>
                </c:pt>
                <c:pt idx="5">
                  <c:v>-110.3590701142758</c:v>
                </c:pt>
                <c:pt idx="6">
                  <c:v>-107.44345065765262</c:v>
                </c:pt>
                <c:pt idx="7">
                  <c:v>-104.52783120102941</c:v>
                </c:pt>
                <c:pt idx="8">
                  <c:v>-101.61221174440621</c:v>
                </c:pt>
                <c:pt idx="9">
                  <c:v>-98.69659228778302</c:v>
                </c:pt>
                <c:pt idx="10">
                  <c:v>-95.780972831159829</c:v>
                </c:pt>
                <c:pt idx="11">
                  <c:v>-92.865353374536625</c:v>
                </c:pt>
                <c:pt idx="12">
                  <c:v>-89.949733917913434</c:v>
                </c:pt>
                <c:pt idx="13">
                  <c:v>-87.034114461290244</c:v>
                </c:pt>
                <c:pt idx="14">
                  <c:v>-84.118495004667039</c:v>
                </c:pt>
                <c:pt idx="15">
                  <c:v>-81.202875548043835</c:v>
                </c:pt>
                <c:pt idx="16">
                  <c:v>-78.287256091420645</c:v>
                </c:pt>
                <c:pt idx="17">
                  <c:v>-75.371636634797454</c:v>
                </c:pt>
                <c:pt idx="18">
                  <c:v>-72.45601717817425</c:v>
                </c:pt>
                <c:pt idx="19">
                  <c:v>-69.540397721551059</c:v>
                </c:pt>
                <c:pt idx="20">
                  <c:v>-66.624778264927855</c:v>
                </c:pt>
                <c:pt idx="21">
                  <c:v>-63.709158808304664</c:v>
                </c:pt>
                <c:pt idx="22">
                  <c:v>-60.793539351681474</c:v>
                </c:pt>
                <c:pt idx="23">
                  <c:v>-57.87791989505827</c:v>
                </c:pt>
                <c:pt idx="24">
                  <c:v>-54.962300438435079</c:v>
                </c:pt>
                <c:pt idx="25">
                  <c:v>-52.046680981811875</c:v>
                </c:pt>
                <c:pt idx="26">
                  <c:v>-49.131061525188684</c:v>
                </c:pt>
                <c:pt idx="27">
                  <c:v>-46.21544206856548</c:v>
                </c:pt>
                <c:pt idx="28">
                  <c:v>-43.299822611942275</c:v>
                </c:pt>
                <c:pt idx="29">
                  <c:v>-40.384203155319099</c:v>
                </c:pt>
                <c:pt idx="30">
                  <c:v>-37.468583698695895</c:v>
                </c:pt>
                <c:pt idx="31">
                  <c:v>-34.552964242072704</c:v>
                </c:pt>
                <c:pt idx="32">
                  <c:v>-31.6373447854495</c:v>
                </c:pt>
                <c:pt idx="33">
                  <c:v>-28.721725328826309</c:v>
                </c:pt>
                <c:pt idx="34">
                  <c:v>-25.806105872203105</c:v>
                </c:pt>
                <c:pt idx="35">
                  <c:v>-22.8904864155799</c:v>
                </c:pt>
                <c:pt idx="36">
                  <c:v>-19.974866958956724</c:v>
                </c:pt>
                <c:pt idx="37">
                  <c:v>-17.05924750233352</c:v>
                </c:pt>
                <c:pt idx="38">
                  <c:v>-14.143628045710329</c:v>
                </c:pt>
                <c:pt idx="39">
                  <c:v>-11.228008589087125</c:v>
                </c:pt>
                <c:pt idx="40">
                  <c:v>-8.3123891324639203</c:v>
                </c:pt>
                <c:pt idx="41">
                  <c:v>-5.39676967584073</c:v>
                </c:pt>
                <c:pt idx="42">
                  <c:v>-2.4811502192175396</c:v>
                </c:pt>
                <c:pt idx="43">
                  <c:v>0.43446923740565069</c:v>
                </c:pt>
                <c:pt idx="44">
                  <c:v>3.350088694028841</c:v>
                </c:pt>
                <c:pt idx="45">
                  <c:v>6.2657081506520456</c:v>
                </c:pt>
                <c:pt idx="46">
                  <c:v>9.1813276072752501</c:v>
                </c:pt>
                <c:pt idx="47">
                  <c:v>12.096947063898455</c:v>
                </c:pt>
                <c:pt idx="48">
                  <c:v>15.012566520521631</c:v>
                </c:pt>
                <c:pt idx="49">
                  <c:v>17.928185977144835</c:v>
                </c:pt>
                <c:pt idx="50">
                  <c:v>20.84380543376804</c:v>
                </c:pt>
                <c:pt idx="51">
                  <c:v>23.759424890391244</c:v>
                </c:pt>
                <c:pt idx="52">
                  <c:v>26.675044347014421</c:v>
                </c:pt>
                <c:pt idx="53">
                  <c:v>29.590663803637625</c:v>
                </c:pt>
                <c:pt idx="54">
                  <c:v>32.50628326026083</c:v>
                </c:pt>
                <c:pt idx="55">
                  <c:v>35.421902716884006</c:v>
                </c:pt>
                <c:pt idx="56">
                  <c:v>38.337522173507239</c:v>
                </c:pt>
                <c:pt idx="57">
                  <c:v>41.253141630130415</c:v>
                </c:pt>
                <c:pt idx="58">
                  <c:v>44.168761086753591</c:v>
                </c:pt>
                <c:pt idx="59">
                  <c:v>47.084380543376795</c:v>
                </c:pt>
                <c:pt idx="60">
                  <c:v>50</c:v>
                </c:pt>
              </c:numCache>
            </c:numRef>
          </c:xVal>
          <c:yVal>
            <c:numRef>
              <c:f>Sheet2!$O$2:$O$62</c:f>
              <c:numCache>
                <c:formatCode>0.00</c:formatCode>
                <c:ptCount val="61"/>
                <c:pt idx="0">
                  <c:v>-1000.2792560170357</c:v>
                </c:pt>
                <c:pt idx="1">
                  <c:v>-980.85288868057421</c:v>
                </c:pt>
                <c:pt idx="2">
                  <c:v>-961.42702474451028</c:v>
                </c:pt>
                <c:pt idx="3">
                  <c:v>-942.00169535206044</c:v>
                </c:pt>
                <c:pt idx="4">
                  <c:v>-922.57693426849346</c:v>
                </c:pt>
                <c:pt idx="5">
                  <c:v>-903.15277816290256</c:v>
                </c:pt>
                <c:pt idx="6">
                  <c:v>-883.72926692709893</c:v>
                </c:pt>
                <c:pt idx="7">
                  <c:v>-864.30644403745305</c:v>
                </c:pt>
                <c:pt idx="8">
                  <c:v>-844.88435696658951</c:v>
                </c:pt>
                <c:pt idx="9">
                  <c:v>-825.46305765312661</c:v>
                </c:pt>
                <c:pt idx="10">
                  <c:v>-806.04260303923866</c:v>
                </c:pt>
                <c:pt idx="11">
                  <c:v>-786.62305568773877</c:v>
                </c:pt>
                <c:pt idx="12">
                  <c:v>-767.20448449274602</c:v>
                </c:pt>
                <c:pt idx="13">
                  <c:v>-747.78696550091456</c:v>
                </c:pt>
                <c:pt idx="14">
                  <c:v>-728.37058286381455</c:v>
                </c:pt>
                <c:pt idx="15">
                  <c:v>-708.95542994655239</c:v>
                </c:pt>
                <c:pt idx="16">
                  <c:v>-689.54161062335481</c:v>
                </c:pt>
                <c:pt idx="17">
                  <c:v>-670.12924079793777</c:v>
                </c:pt>
                <c:pt idx="18">
                  <c:v>-650.71845019548334</c:v>
                </c:pt>
                <c:pt idx="19">
                  <c:v>-631.30938448452059</c:v>
                </c:pt>
                <c:pt idx="20">
                  <c:v>-611.90220780175127</c:v>
                </c:pt>
                <c:pt idx="21">
                  <c:v>-592.49710577192889</c:v>
                </c:pt>
                <c:pt idx="22">
                  <c:v>-573.09428913974364</c:v>
                </c:pt>
                <c:pt idx="23">
                  <c:v>-553.69399816332191</c:v>
                </c:pt>
                <c:pt idx="24">
                  <c:v>-534.29650796220119</c:v>
                </c:pt>
                <c:pt idx="25">
                  <c:v>-514.90213507048247</c:v>
                </c:pt>
                <c:pt idx="26">
                  <c:v>-495.51124552395527</c:v>
                </c:pt>
                <c:pt idx="27">
                  <c:v>-476.12426491650535</c:v>
                </c:pt>
                <c:pt idx="28">
                  <c:v>-456.74169100804085</c:v>
                </c:pt>
                <c:pt idx="29">
                  <c:v>-437.36410967123044</c:v>
                </c:pt>
                <c:pt idx="30">
                  <c:v>-417.99221525424656</c:v>
                </c:pt>
                <c:pt idx="31">
                  <c:v>-398.62683685223442</c:v>
                </c:pt>
                <c:pt idx="32">
                  <c:v>-379.26897258476652</c:v>
                </c:pt>
                <c:pt idx="33">
                  <c:v>-359.91983487050561</c:v>
                </c:pt>
                <c:pt idx="34">
                  <c:v>-340.5809110357489</c:v>
                </c:pt>
                <c:pt idx="35">
                  <c:v>-321.25404565809049</c:v>
                </c:pt>
                <c:pt idx="36">
                  <c:v>-301.94155428238338</c:v>
                </c:pt>
                <c:pt idx="37">
                  <c:v>-282.64638333835694</c:v>
                </c:pt>
                <c:pt idx="38">
                  <c:v>-263.37233963927662</c:v>
                </c:pt>
                <c:pt idx="39">
                  <c:v>-244.12442733348212</c:v>
                </c:pt>
                <c:pt idx="40">
                  <c:v>-224.90935555408942</c:v>
                </c:pt>
                <c:pt idx="41">
                  <c:v>-205.73632608664946</c:v>
                </c:pt>
                <c:pt idx="42">
                  <c:v>-186.61829757161965</c:v>
                </c:pt>
                <c:pt idx="43">
                  <c:v>-167.57409575005346</c:v>
                </c:pt>
                <c:pt idx="44">
                  <c:v>-148.63210153054985</c:v>
                </c:pt>
                <c:pt idx="45">
                  <c:v>-129.83705597920928</c:v>
                </c:pt>
                <c:pt idx="46">
                  <c:v>-111.26345341723879</c:v>
                </c:pt>
                <c:pt idx="47">
                  <c:v>-93.044002968127415</c:v>
                </c:pt>
                <c:pt idx="48">
                  <c:v>-75.435749955553916</c:v>
                </c:pt>
                <c:pt idx="49">
                  <c:v>-58.988589705144349</c:v>
                </c:pt>
                <c:pt idx="50">
                  <c:v>-44.994338760203611</c:v>
                </c:pt>
                <c:pt idx="51">
                  <c:v>-36.401411875848339</c:v>
                </c:pt>
                <c:pt idx="52">
                  <c:v>-37.166793158186643</c:v>
                </c:pt>
                <c:pt idx="53">
                  <c:v>-46.83389479632028</c:v>
                </c:pt>
                <c:pt idx="54">
                  <c:v>-61.32856064627029</c:v>
                </c:pt>
                <c:pt idx="55">
                  <c:v>-78.004528465434461</c:v>
                </c:pt>
                <c:pt idx="56">
                  <c:v>-95.728553902727683</c:v>
                </c:pt>
                <c:pt idx="57">
                  <c:v>-114.01289867607581</c:v>
                </c:pt>
                <c:pt idx="58">
                  <c:v>-132.62602142021714</c:v>
                </c:pt>
                <c:pt idx="59">
                  <c:v>-151.4467481064278</c:v>
                </c:pt>
                <c:pt idx="60">
                  <c:v>-170.40630542115741</c:v>
                </c:pt>
              </c:numCache>
            </c:numRef>
          </c:yVal>
          <c:smooth val="1"/>
          <c:extLst>
            <c:ext xmlns:c16="http://schemas.microsoft.com/office/drawing/2014/chart" uri="{C3380CC4-5D6E-409C-BE32-E72D297353CC}">
              <c16:uniqueId val="{00000002-4644-482E-B97E-DB3BE0423067}"/>
            </c:ext>
          </c:extLst>
        </c:ser>
        <c:ser>
          <c:idx val="5"/>
          <c:order val="5"/>
          <c:tx>
            <c:v>Stage Lower</c:v>
          </c:tx>
          <c:spPr>
            <a:ln w="25400" cap="rnd" cmpd="sng">
              <a:solidFill>
                <a:srgbClr val="FF0066"/>
              </a:solidFill>
              <a:round/>
            </a:ln>
            <a:effectLst/>
          </c:spPr>
          <c:marker>
            <c:symbol val="none"/>
          </c:marker>
          <c:xVal>
            <c:numRef>
              <c:f>Sheet2!$S$2:$S$62</c:f>
              <c:numCache>
                <c:formatCode>0.00</c:formatCode>
                <c:ptCount val="61"/>
                <c:pt idx="0">
                  <c:v>0</c:v>
                </c:pt>
                <c:pt idx="1">
                  <c:v>0.83333333333333337</c:v>
                </c:pt>
                <c:pt idx="2">
                  <c:v>1.6666666666666667</c:v>
                </c:pt>
                <c:pt idx="3">
                  <c:v>2.5</c:v>
                </c:pt>
                <c:pt idx="4">
                  <c:v>3.3333333333333335</c:v>
                </c:pt>
                <c:pt idx="5">
                  <c:v>4.166666666666667</c:v>
                </c:pt>
                <c:pt idx="6">
                  <c:v>5</c:v>
                </c:pt>
                <c:pt idx="7">
                  <c:v>5.833333333333333</c:v>
                </c:pt>
                <c:pt idx="8">
                  <c:v>6.666666666666667</c:v>
                </c:pt>
                <c:pt idx="9">
                  <c:v>7.5</c:v>
                </c:pt>
                <c:pt idx="10">
                  <c:v>8.3333333333333339</c:v>
                </c:pt>
                <c:pt idx="11">
                  <c:v>9.1666666666666661</c:v>
                </c:pt>
                <c:pt idx="12">
                  <c:v>10</c:v>
                </c:pt>
                <c:pt idx="13">
                  <c:v>10.833333333333334</c:v>
                </c:pt>
                <c:pt idx="14">
                  <c:v>11.666666666666666</c:v>
                </c:pt>
                <c:pt idx="15">
                  <c:v>12.5</c:v>
                </c:pt>
                <c:pt idx="16">
                  <c:v>13.333333333333334</c:v>
                </c:pt>
                <c:pt idx="17">
                  <c:v>14.166666666666666</c:v>
                </c:pt>
                <c:pt idx="18">
                  <c:v>15</c:v>
                </c:pt>
                <c:pt idx="19">
                  <c:v>15.833333333333334</c:v>
                </c:pt>
                <c:pt idx="20">
                  <c:v>16.666666666666668</c:v>
                </c:pt>
                <c:pt idx="21">
                  <c:v>17.5</c:v>
                </c:pt>
                <c:pt idx="22">
                  <c:v>18.333333333333332</c:v>
                </c:pt>
                <c:pt idx="23">
                  <c:v>19.166666666666668</c:v>
                </c:pt>
                <c:pt idx="24">
                  <c:v>20</c:v>
                </c:pt>
                <c:pt idx="25">
                  <c:v>20.833333333333332</c:v>
                </c:pt>
                <c:pt idx="26">
                  <c:v>21.666666666666668</c:v>
                </c:pt>
                <c:pt idx="27">
                  <c:v>22.5</c:v>
                </c:pt>
                <c:pt idx="28">
                  <c:v>23.333333333333332</c:v>
                </c:pt>
                <c:pt idx="29">
                  <c:v>24.166666666666668</c:v>
                </c:pt>
                <c:pt idx="30">
                  <c:v>25</c:v>
                </c:pt>
                <c:pt idx="31">
                  <c:v>25.833333333333332</c:v>
                </c:pt>
                <c:pt idx="32">
                  <c:v>26.666666666666668</c:v>
                </c:pt>
                <c:pt idx="33">
                  <c:v>27.5</c:v>
                </c:pt>
                <c:pt idx="34">
                  <c:v>28.333333333333332</c:v>
                </c:pt>
                <c:pt idx="35">
                  <c:v>29.166666666666668</c:v>
                </c:pt>
                <c:pt idx="36">
                  <c:v>30</c:v>
                </c:pt>
                <c:pt idx="37">
                  <c:v>30.833333333333332</c:v>
                </c:pt>
                <c:pt idx="38">
                  <c:v>31.666666666666668</c:v>
                </c:pt>
                <c:pt idx="39">
                  <c:v>32.5</c:v>
                </c:pt>
                <c:pt idx="40">
                  <c:v>33.333333333333336</c:v>
                </c:pt>
                <c:pt idx="41">
                  <c:v>34.166666666666664</c:v>
                </c:pt>
                <c:pt idx="42">
                  <c:v>35</c:v>
                </c:pt>
                <c:pt idx="43">
                  <c:v>35.833333333333336</c:v>
                </c:pt>
                <c:pt idx="44">
                  <c:v>36.666666666666664</c:v>
                </c:pt>
                <c:pt idx="45">
                  <c:v>37.5</c:v>
                </c:pt>
                <c:pt idx="46">
                  <c:v>38.333333333333336</c:v>
                </c:pt>
                <c:pt idx="47">
                  <c:v>39.166666666666664</c:v>
                </c:pt>
                <c:pt idx="48">
                  <c:v>40</c:v>
                </c:pt>
                <c:pt idx="49">
                  <c:v>40.833333333333336</c:v>
                </c:pt>
                <c:pt idx="50">
                  <c:v>41.666666666666664</c:v>
                </c:pt>
                <c:pt idx="51">
                  <c:v>42.5</c:v>
                </c:pt>
                <c:pt idx="52">
                  <c:v>43.333333333333336</c:v>
                </c:pt>
                <c:pt idx="53">
                  <c:v>44.166666666666664</c:v>
                </c:pt>
                <c:pt idx="54">
                  <c:v>45</c:v>
                </c:pt>
                <c:pt idx="55">
                  <c:v>45.833333333333336</c:v>
                </c:pt>
                <c:pt idx="56">
                  <c:v>46.666666666666664</c:v>
                </c:pt>
                <c:pt idx="57">
                  <c:v>47.5</c:v>
                </c:pt>
                <c:pt idx="58">
                  <c:v>48.333333333333336</c:v>
                </c:pt>
                <c:pt idx="59">
                  <c:v>49.166666666666664</c:v>
                </c:pt>
                <c:pt idx="60">
                  <c:v>50</c:v>
                </c:pt>
              </c:numCache>
            </c:numRef>
          </c:xVal>
          <c:yVal>
            <c:numRef>
              <c:f>Sheet2!$V$2:$V$62</c:f>
              <c:numCache>
                <c:formatCode>0.00</c:formatCode>
                <c:ptCount val="61"/>
                <c:pt idx="0">
                  <c:v>-170.40630542115741</c:v>
                </c:pt>
                <c:pt idx="1">
                  <c:v>-164.97595878365476</c:v>
                </c:pt>
                <c:pt idx="2">
                  <c:v>-159.55426049203936</c:v>
                </c:pt>
                <c:pt idx="3">
                  <c:v>-154.14212312348315</c:v>
                </c:pt>
                <c:pt idx="4">
                  <c:v>-148.74059034489056</c:v>
                </c:pt>
                <c:pt idx="5">
                  <c:v>-143.35086092017781</c:v>
                </c:pt>
                <c:pt idx="6">
                  <c:v>-137.9743180894321</c:v>
                </c:pt>
                <c:pt idx="7">
                  <c:v>-132.61256574401037</c:v>
                </c:pt>
                <c:pt idx="8">
                  <c:v>-127.26747325791165</c:v>
                </c:pt>
                <c:pt idx="9">
                  <c:v>-121.94123142307134</c:v>
                </c:pt>
                <c:pt idx="10">
                  <c:v>-116.63642273224474</c:v>
                </c:pt>
                <c:pt idx="11">
                  <c:v>-111.35611033909562</c:v>
                </c:pt>
                <c:pt idx="12">
                  <c:v>-106.10395151552461</c:v>
                </c:pt>
                <c:pt idx="13">
                  <c:v>-100.88434348224118</c:v>
                </c:pt>
                <c:pt idx="14">
                  <c:v>-95.702612335060749</c:v>
                </c:pt>
                <c:pt idx="15">
                  <c:v>-90.565259735425329</c:v>
                </c:pt>
                <c:pt idx="16">
                  <c:v>-85.480287490235071</c:v>
                </c:pt>
                <c:pt idx="17">
                  <c:v>-80.457627625723021</c:v>
                </c:pt>
                <c:pt idx="18">
                  <c:v>-75.509715614507556</c:v>
                </c:pt>
                <c:pt idx="19">
                  <c:v>-70.65225740545138</c:v>
                </c:pt>
                <c:pt idx="20">
                  <c:v>-65.905256361435931</c:v>
                </c:pt>
                <c:pt idx="21">
                  <c:v>-61.294381234539422</c:v>
                </c:pt>
                <c:pt idx="22">
                  <c:v>-56.852761947521778</c:v>
                </c:pt>
                <c:pt idx="23">
                  <c:v>-52.62327361991246</c:v>
                </c:pt>
                <c:pt idx="24">
                  <c:v>-48.661261051978599</c:v>
                </c:pt>
                <c:pt idx="25">
                  <c:v>-45.037370517599058</c:v>
                </c:pt>
                <c:pt idx="26">
                  <c:v>-41.839552750815315</c:v>
                </c:pt>
                <c:pt idx="27">
                  <c:v>-39.172294047133114</c:v>
                </c:pt>
                <c:pt idx="28">
                  <c:v>-37.150048219617702</c:v>
                </c:pt>
                <c:pt idx="29">
                  <c:v>-35.88203672874269</c:v>
                </c:pt>
                <c:pt idx="30">
                  <c:v>-35.449288457792925</c:v>
                </c:pt>
                <c:pt idx="31">
                  <c:v>-35.88203672874269</c:v>
                </c:pt>
                <c:pt idx="32">
                  <c:v>-37.150048219617702</c:v>
                </c:pt>
                <c:pt idx="33">
                  <c:v>-39.172294047133114</c:v>
                </c:pt>
                <c:pt idx="34">
                  <c:v>-41.839552750815315</c:v>
                </c:pt>
                <c:pt idx="35">
                  <c:v>-45.037370517599058</c:v>
                </c:pt>
                <c:pt idx="36">
                  <c:v>-48.661261051978599</c:v>
                </c:pt>
                <c:pt idx="37">
                  <c:v>-52.62327361991246</c:v>
                </c:pt>
                <c:pt idx="38">
                  <c:v>-56.852761947521778</c:v>
                </c:pt>
                <c:pt idx="39">
                  <c:v>-61.294381234539422</c:v>
                </c:pt>
                <c:pt idx="40">
                  <c:v>-65.905256361435931</c:v>
                </c:pt>
                <c:pt idx="41">
                  <c:v>-70.65225740545138</c:v>
                </c:pt>
                <c:pt idx="42">
                  <c:v>-75.509715614507556</c:v>
                </c:pt>
                <c:pt idx="43">
                  <c:v>-80.457627625723021</c:v>
                </c:pt>
                <c:pt idx="44">
                  <c:v>-85.480287490235071</c:v>
                </c:pt>
                <c:pt idx="45">
                  <c:v>-90.565259735425329</c:v>
                </c:pt>
                <c:pt idx="46">
                  <c:v>-95.702612335060749</c:v>
                </c:pt>
                <c:pt idx="47">
                  <c:v>-100.88434348224118</c:v>
                </c:pt>
                <c:pt idx="48">
                  <c:v>-106.10395151552461</c:v>
                </c:pt>
                <c:pt idx="49">
                  <c:v>-111.35611033909562</c:v>
                </c:pt>
                <c:pt idx="50">
                  <c:v>-116.63642273224474</c:v>
                </c:pt>
                <c:pt idx="51">
                  <c:v>-121.94123142307134</c:v>
                </c:pt>
                <c:pt idx="52">
                  <c:v>-127.26747325791165</c:v>
                </c:pt>
                <c:pt idx="53">
                  <c:v>-132.61256574401037</c:v>
                </c:pt>
                <c:pt idx="54">
                  <c:v>-137.9743180894321</c:v>
                </c:pt>
                <c:pt idx="55">
                  <c:v>-143.35086092017781</c:v>
                </c:pt>
                <c:pt idx="56">
                  <c:v>-148.74059034489056</c:v>
                </c:pt>
                <c:pt idx="57">
                  <c:v>-154.14212312348315</c:v>
                </c:pt>
                <c:pt idx="58">
                  <c:v>-159.55426049203945</c:v>
                </c:pt>
                <c:pt idx="59">
                  <c:v>-164.97595878365465</c:v>
                </c:pt>
                <c:pt idx="60">
                  <c:v>-170.40630542115741</c:v>
                </c:pt>
              </c:numCache>
            </c:numRef>
          </c:yVal>
          <c:smooth val="1"/>
          <c:extLst>
            <c:ext xmlns:c16="http://schemas.microsoft.com/office/drawing/2014/chart" uri="{C3380CC4-5D6E-409C-BE32-E72D297353CC}">
              <c16:uniqueId val="{00000003-4D9C-4A5E-80BA-413552D222D9}"/>
            </c:ext>
          </c:extLst>
        </c:ser>
        <c:dLbls>
          <c:showLegendKey val="0"/>
          <c:showVal val="0"/>
          <c:showCatName val="0"/>
          <c:showSerName val="0"/>
          <c:showPercent val="0"/>
          <c:showBubbleSize val="0"/>
        </c:dLbls>
        <c:axId val="438047520"/>
        <c:axId val="438047848"/>
      </c:scatterChart>
      <c:valAx>
        <c:axId val="4380475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Position Relative To Stage Zero (mm)</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047848"/>
        <c:crosses val="autoZero"/>
        <c:crossBetween val="midCat"/>
      </c:valAx>
      <c:valAx>
        <c:axId val="4380478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Beam Dimension (um)</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047520"/>
        <c:crosses val="autoZero"/>
        <c:crossBetween val="midCat"/>
      </c:valAx>
      <c:spPr>
        <a:solidFill>
          <a:schemeClr val="accent1">
            <a:lumMod val="20000"/>
            <a:lumOff val="80000"/>
          </a:schemeClr>
        </a:solidFill>
        <a:ln>
          <a:noFill/>
        </a:ln>
        <a:effectLst/>
      </c:spPr>
    </c:plotArea>
    <c:legend>
      <c:legendPos val="b"/>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lumMod val="65000"/>
                    <a:lumOff val="35000"/>
                  </a:sysClr>
                </a:solidFill>
                <a:latin typeface="+mn-lt"/>
                <a:ea typeface="+mn-ea"/>
                <a:cs typeface="+mn-cs"/>
              </a:defRPr>
            </a:pPr>
            <a:r>
              <a:rPr lang="en-US" sz="1800"/>
              <a:t>Simulated Diameter Across Full Stage Travel</a:t>
            </a:r>
          </a:p>
          <a:p>
            <a:pPr marL="0" marR="0" lvl="0" indent="0" algn="ctr" defTabSz="914400" rtl="0" eaLnBrk="1" fontAlgn="auto" latinLnBrk="0" hangingPunct="1">
              <a:lnSpc>
                <a:spcPct val="100000"/>
              </a:lnSpc>
              <a:spcBef>
                <a:spcPts val="0"/>
              </a:spcBef>
              <a:spcAft>
                <a:spcPts val="0"/>
              </a:spcAft>
              <a:buClrTx/>
              <a:buSzTx/>
              <a:buFontTx/>
              <a:buNone/>
              <a:tabLst/>
              <a:defRPr sz="1600">
                <a:solidFill>
                  <a:sysClr val="windowText" lastClr="000000">
                    <a:lumMod val="65000"/>
                    <a:lumOff val="35000"/>
                  </a:sysClr>
                </a:solidFill>
              </a:defRPr>
            </a:pPr>
            <a:r>
              <a:rPr lang="en-US" sz="1400" b="0" i="0" u="sng" baseline="0">
                <a:effectLst/>
              </a:rPr>
              <a:t>M2 Curve Must Not Be Below Either Dashed Line</a:t>
            </a:r>
            <a:endParaRPr lang="en-US" sz="1200">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scatterChart>
        <c:scatterStyle val="smoothMarker"/>
        <c:varyColors val="0"/>
        <c:ser>
          <c:idx val="1"/>
          <c:order val="0"/>
          <c:tx>
            <c:v>Beam Diameter (M2 Curve)</c:v>
          </c:tx>
          <c:spPr>
            <a:ln w="19050" cap="rnd">
              <a:solidFill>
                <a:srgbClr val="FF0066"/>
              </a:solidFill>
              <a:round/>
            </a:ln>
            <a:effectLst/>
          </c:spPr>
          <c:marker>
            <c:symbol val="none"/>
          </c:marker>
          <c:xVal>
            <c:numRef>
              <c:f>Sheet2!$S$2:$S$62</c:f>
              <c:numCache>
                <c:formatCode>0.00</c:formatCode>
                <c:ptCount val="61"/>
                <c:pt idx="0">
                  <c:v>0</c:v>
                </c:pt>
                <c:pt idx="1">
                  <c:v>0.83333333333333337</c:v>
                </c:pt>
                <c:pt idx="2">
                  <c:v>1.6666666666666667</c:v>
                </c:pt>
                <c:pt idx="3">
                  <c:v>2.5</c:v>
                </c:pt>
                <c:pt idx="4">
                  <c:v>3.3333333333333335</c:v>
                </c:pt>
                <c:pt idx="5">
                  <c:v>4.166666666666667</c:v>
                </c:pt>
                <c:pt idx="6">
                  <c:v>5</c:v>
                </c:pt>
                <c:pt idx="7">
                  <c:v>5.833333333333333</c:v>
                </c:pt>
                <c:pt idx="8">
                  <c:v>6.666666666666667</c:v>
                </c:pt>
                <c:pt idx="9">
                  <c:v>7.5</c:v>
                </c:pt>
                <c:pt idx="10">
                  <c:v>8.3333333333333339</c:v>
                </c:pt>
                <c:pt idx="11">
                  <c:v>9.1666666666666661</c:v>
                </c:pt>
                <c:pt idx="12">
                  <c:v>10</c:v>
                </c:pt>
                <c:pt idx="13">
                  <c:v>10.833333333333334</c:v>
                </c:pt>
                <c:pt idx="14">
                  <c:v>11.666666666666666</c:v>
                </c:pt>
                <c:pt idx="15">
                  <c:v>12.5</c:v>
                </c:pt>
                <c:pt idx="16">
                  <c:v>13.333333333333334</c:v>
                </c:pt>
                <c:pt idx="17">
                  <c:v>14.166666666666666</c:v>
                </c:pt>
                <c:pt idx="18">
                  <c:v>15</c:v>
                </c:pt>
                <c:pt idx="19">
                  <c:v>15.833333333333334</c:v>
                </c:pt>
                <c:pt idx="20">
                  <c:v>16.666666666666668</c:v>
                </c:pt>
                <c:pt idx="21">
                  <c:v>17.5</c:v>
                </c:pt>
                <c:pt idx="22">
                  <c:v>18.333333333333332</c:v>
                </c:pt>
                <c:pt idx="23">
                  <c:v>19.166666666666668</c:v>
                </c:pt>
                <c:pt idx="24">
                  <c:v>20</c:v>
                </c:pt>
                <c:pt idx="25">
                  <c:v>20.833333333333332</c:v>
                </c:pt>
                <c:pt idx="26">
                  <c:v>21.666666666666668</c:v>
                </c:pt>
                <c:pt idx="27">
                  <c:v>22.5</c:v>
                </c:pt>
                <c:pt idx="28">
                  <c:v>23.333333333333332</c:v>
                </c:pt>
                <c:pt idx="29">
                  <c:v>24.166666666666668</c:v>
                </c:pt>
                <c:pt idx="30">
                  <c:v>25</c:v>
                </c:pt>
                <c:pt idx="31">
                  <c:v>25.833333333333332</c:v>
                </c:pt>
                <c:pt idx="32">
                  <c:v>26.666666666666668</c:v>
                </c:pt>
                <c:pt idx="33">
                  <c:v>27.5</c:v>
                </c:pt>
                <c:pt idx="34">
                  <c:v>28.333333333333332</c:v>
                </c:pt>
                <c:pt idx="35">
                  <c:v>29.166666666666668</c:v>
                </c:pt>
                <c:pt idx="36">
                  <c:v>30</c:v>
                </c:pt>
                <c:pt idx="37">
                  <c:v>30.833333333333332</c:v>
                </c:pt>
                <c:pt idx="38">
                  <c:v>31.666666666666668</c:v>
                </c:pt>
                <c:pt idx="39">
                  <c:v>32.5</c:v>
                </c:pt>
                <c:pt idx="40">
                  <c:v>33.333333333333336</c:v>
                </c:pt>
                <c:pt idx="41">
                  <c:v>34.166666666666664</c:v>
                </c:pt>
                <c:pt idx="42">
                  <c:v>35</c:v>
                </c:pt>
                <c:pt idx="43">
                  <c:v>35.833333333333336</c:v>
                </c:pt>
                <c:pt idx="44">
                  <c:v>36.666666666666664</c:v>
                </c:pt>
                <c:pt idx="45">
                  <c:v>37.5</c:v>
                </c:pt>
                <c:pt idx="46">
                  <c:v>38.333333333333336</c:v>
                </c:pt>
                <c:pt idx="47">
                  <c:v>39.166666666666664</c:v>
                </c:pt>
                <c:pt idx="48">
                  <c:v>40</c:v>
                </c:pt>
                <c:pt idx="49">
                  <c:v>40.833333333333336</c:v>
                </c:pt>
                <c:pt idx="50">
                  <c:v>41.666666666666664</c:v>
                </c:pt>
                <c:pt idx="51">
                  <c:v>42.5</c:v>
                </c:pt>
                <c:pt idx="52">
                  <c:v>43.333333333333336</c:v>
                </c:pt>
                <c:pt idx="53">
                  <c:v>44.166666666666664</c:v>
                </c:pt>
                <c:pt idx="54">
                  <c:v>45</c:v>
                </c:pt>
                <c:pt idx="55">
                  <c:v>45.833333333333336</c:v>
                </c:pt>
                <c:pt idx="56">
                  <c:v>46.666666666666664</c:v>
                </c:pt>
                <c:pt idx="57">
                  <c:v>47.5</c:v>
                </c:pt>
                <c:pt idx="58">
                  <c:v>48.333333333333336</c:v>
                </c:pt>
                <c:pt idx="59">
                  <c:v>49.166666666666664</c:v>
                </c:pt>
                <c:pt idx="60">
                  <c:v>50</c:v>
                </c:pt>
              </c:numCache>
            </c:numRef>
          </c:xVal>
          <c:yVal>
            <c:numRef>
              <c:f>Sheet2!$U$2:$U$62</c:f>
              <c:numCache>
                <c:formatCode>0.00</c:formatCode>
                <c:ptCount val="61"/>
                <c:pt idx="0">
                  <c:v>340.81261084231483</c:v>
                </c:pt>
                <c:pt idx="1">
                  <c:v>329.95191756730952</c:v>
                </c:pt>
                <c:pt idx="2">
                  <c:v>319.10852098407872</c:v>
                </c:pt>
                <c:pt idx="3">
                  <c:v>308.28424624696629</c:v>
                </c:pt>
                <c:pt idx="4">
                  <c:v>297.48118068978113</c:v>
                </c:pt>
                <c:pt idx="5">
                  <c:v>286.70172184035562</c:v>
                </c:pt>
                <c:pt idx="6">
                  <c:v>275.94863617886421</c:v>
                </c:pt>
                <c:pt idx="7">
                  <c:v>265.22513148802074</c:v>
                </c:pt>
                <c:pt idx="8">
                  <c:v>254.53494651582329</c:v>
                </c:pt>
                <c:pt idx="9">
                  <c:v>243.88246284614269</c:v>
                </c:pt>
                <c:pt idx="10">
                  <c:v>233.27284546448948</c:v>
                </c:pt>
                <c:pt idx="11">
                  <c:v>222.71222067819124</c:v>
                </c:pt>
                <c:pt idx="12">
                  <c:v>212.20790303104923</c:v>
                </c:pt>
                <c:pt idx="13">
                  <c:v>201.76868696448236</c:v>
                </c:pt>
                <c:pt idx="14">
                  <c:v>191.4052246701215</c:v>
                </c:pt>
                <c:pt idx="15">
                  <c:v>181.13051947085066</c:v>
                </c:pt>
                <c:pt idx="16">
                  <c:v>170.96057498047014</c:v>
                </c:pt>
                <c:pt idx="17">
                  <c:v>160.91525525144604</c:v>
                </c:pt>
                <c:pt idx="18">
                  <c:v>151.01943122901511</c:v>
                </c:pt>
                <c:pt idx="19">
                  <c:v>141.30451481090276</c:v>
                </c:pt>
                <c:pt idx="20">
                  <c:v>131.81051272287186</c:v>
                </c:pt>
                <c:pt idx="21">
                  <c:v>122.58876246907884</c:v>
                </c:pt>
                <c:pt idx="22">
                  <c:v>113.70552389504356</c:v>
                </c:pt>
                <c:pt idx="23">
                  <c:v>105.24654723982492</c:v>
                </c:pt>
                <c:pt idx="24">
                  <c:v>97.322522103957198</c:v>
                </c:pt>
                <c:pt idx="25">
                  <c:v>90.074741035198116</c:v>
                </c:pt>
                <c:pt idx="26">
                  <c:v>83.67910550163063</c:v>
                </c:pt>
                <c:pt idx="27">
                  <c:v>78.344588094266228</c:v>
                </c:pt>
                <c:pt idx="28">
                  <c:v>74.300096439235404</c:v>
                </c:pt>
                <c:pt idx="29">
                  <c:v>71.764073457485381</c:v>
                </c:pt>
                <c:pt idx="30">
                  <c:v>70.898576915585849</c:v>
                </c:pt>
                <c:pt idx="31">
                  <c:v>71.764073457485381</c:v>
                </c:pt>
                <c:pt idx="32">
                  <c:v>74.300096439235404</c:v>
                </c:pt>
                <c:pt idx="33">
                  <c:v>78.344588094266228</c:v>
                </c:pt>
                <c:pt idx="34">
                  <c:v>83.67910550163063</c:v>
                </c:pt>
                <c:pt idx="35">
                  <c:v>90.074741035198116</c:v>
                </c:pt>
                <c:pt idx="36">
                  <c:v>97.322522103957198</c:v>
                </c:pt>
                <c:pt idx="37">
                  <c:v>105.24654723982492</c:v>
                </c:pt>
                <c:pt idx="38">
                  <c:v>113.70552389504356</c:v>
                </c:pt>
                <c:pt idx="39">
                  <c:v>122.58876246907884</c:v>
                </c:pt>
                <c:pt idx="40">
                  <c:v>131.81051272287186</c:v>
                </c:pt>
                <c:pt idx="41">
                  <c:v>141.30451481090276</c:v>
                </c:pt>
                <c:pt idx="42">
                  <c:v>151.01943122901511</c:v>
                </c:pt>
                <c:pt idx="43">
                  <c:v>160.91525525144604</c:v>
                </c:pt>
                <c:pt idx="44">
                  <c:v>170.96057498047014</c:v>
                </c:pt>
                <c:pt idx="45">
                  <c:v>181.13051947085066</c:v>
                </c:pt>
                <c:pt idx="46">
                  <c:v>191.4052246701215</c:v>
                </c:pt>
                <c:pt idx="47">
                  <c:v>201.76868696448236</c:v>
                </c:pt>
                <c:pt idx="48">
                  <c:v>212.20790303104923</c:v>
                </c:pt>
                <c:pt idx="49">
                  <c:v>222.71222067819124</c:v>
                </c:pt>
                <c:pt idx="50">
                  <c:v>233.27284546448948</c:v>
                </c:pt>
                <c:pt idx="51">
                  <c:v>243.88246284614269</c:v>
                </c:pt>
                <c:pt idx="52">
                  <c:v>254.53494651582329</c:v>
                </c:pt>
                <c:pt idx="53">
                  <c:v>265.22513148802074</c:v>
                </c:pt>
                <c:pt idx="54">
                  <c:v>275.94863617886421</c:v>
                </c:pt>
                <c:pt idx="55">
                  <c:v>286.70172184035562</c:v>
                </c:pt>
                <c:pt idx="56">
                  <c:v>297.48118068978113</c:v>
                </c:pt>
                <c:pt idx="57">
                  <c:v>308.28424624696629</c:v>
                </c:pt>
                <c:pt idx="58">
                  <c:v>319.10852098407889</c:v>
                </c:pt>
                <c:pt idx="59">
                  <c:v>329.95191756730929</c:v>
                </c:pt>
                <c:pt idx="60">
                  <c:v>340.81261084231483</c:v>
                </c:pt>
              </c:numCache>
            </c:numRef>
          </c:yVal>
          <c:smooth val="1"/>
          <c:extLst>
            <c:ext xmlns:c16="http://schemas.microsoft.com/office/drawing/2014/chart" uri="{C3380CC4-5D6E-409C-BE32-E72D297353CC}">
              <c16:uniqueId val="{00000000-9EEB-4E4C-9AEA-477AEC822777}"/>
            </c:ext>
          </c:extLst>
        </c:ser>
        <c:ser>
          <c:idx val="0"/>
          <c:order val="1"/>
          <c:tx>
            <c:v>Beam Waist Plane</c:v>
          </c:tx>
          <c:spPr>
            <a:ln w="19050" cap="rnd">
              <a:noFill/>
              <a:round/>
            </a:ln>
            <a:effectLst/>
          </c:spPr>
          <c:marker>
            <c:symbol val="diamond"/>
            <c:size val="5"/>
            <c:spPr>
              <a:solidFill>
                <a:schemeClr val="accent1"/>
              </a:solidFill>
              <a:ln w="9525">
                <a:no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01-9EEB-4E4C-9AEA-477AEC8227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x"/>
            <c:errBarType val="both"/>
            <c:errValType val="stdErr"/>
            <c:noEndCap val="0"/>
            <c:spPr>
              <a:noFill/>
              <a:ln w="9525" cap="flat" cmpd="sng" algn="ctr">
                <a:noFill/>
                <a:round/>
              </a:ln>
              <a:effectLst/>
            </c:spPr>
          </c:errBars>
          <c:errBars>
            <c:errDir val="y"/>
            <c:errBarType val="plus"/>
            <c:errValType val="cust"/>
            <c:noEndCap val="1"/>
            <c:plus>
              <c:numRef>
                <c:f>'M2DU Measurement'!$G$7</c:f>
                <c:numCache>
                  <c:formatCode>General</c:formatCode>
                  <c:ptCount val="1"/>
                  <c:pt idx="0">
                    <c:v>70.898576915585849</c:v>
                  </c:pt>
                </c:numCache>
              </c:numRef>
            </c:plus>
            <c:minus>
              <c:numRef>
                <c:f>Sheet2!$Q$2</c:f>
                <c:numCache>
                  <c:formatCode>General</c:formatCode>
                  <c:ptCount val="1"/>
                  <c:pt idx="0">
                    <c:v>35.449288457792925</c:v>
                  </c:pt>
                </c:numCache>
              </c:numRef>
            </c:minus>
            <c:spPr>
              <a:noFill/>
              <a:ln w="9525" cap="flat" cmpd="sng" algn="ctr">
                <a:solidFill>
                  <a:schemeClr val="tx1">
                    <a:lumMod val="65000"/>
                    <a:lumOff val="35000"/>
                  </a:schemeClr>
                </a:solidFill>
                <a:round/>
              </a:ln>
              <a:effectLst/>
            </c:spPr>
          </c:errBars>
          <c:xVal>
            <c:numRef>
              <c:f>'M2DU Measurement'!$G$11</c:f>
              <c:numCache>
                <c:formatCode>0.00</c:formatCode>
                <c:ptCount val="1"/>
                <c:pt idx="0">
                  <c:v>25</c:v>
                </c:pt>
              </c:numCache>
            </c:numRef>
          </c:xVal>
          <c:yVal>
            <c:numLit>
              <c:formatCode>General</c:formatCode>
              <c:ptCount val="1"/>
              <c:pt idx="0">
                <c:v>0</c:v>
              </c:pt>
            </c:numLit>
          </c:yVal>
          <c:smooth val="1"/>
          <c:extLst>
            <c:ext xmlns:c16="http://schemas.microsoft.com/office/drawing/2014/chart" uri="{C3380CC4-5D6E-409C-BE32-E72D297353CC}">
              <c16:uniqueId val="{00000002-9EEB-4E4C-9AEA-477AEC822777}"/>
            </c:ext>
          </c:extLst>
        </c:ser>
        <c:ser>
          <c:idx val="2"/>
          <c:order val="2"/>
          <c:tx>
            <c:v>Rayleigh Length Limit</c:v>
          </c:tx>
          <c:spPr>
            <a:ln w="19050" cap="rnd">
              <a:solidFill>
                <a:schemeClr val="accent3"/>
              </a:solidFill>
              <a:prstDash val="dash"/>
              <a:round/>
            </a:ln>
            <a:effectLst/>
          </c:spPr>
          <c:marker>
            <c:symbol val="none"/>
          </c:marker>
          <c:xVal>
            <c:numRef>
              <c:f>Sheet2!$S$2:$S$62</c:f>
              <c:numCache>
                <c:formatCode>0.00</c:formatCode>
                <c:ptCount val="61"/>
                <c:pt idx="0">
                  <c:v>0</c:v>
                </c:pt>
                <c:pt idx="1">
                  <c:v>0.83333333333333337</c:v>
                </c:pt>
                <c:pt idx="2">
                  <c:v>1.6666666666666667</c:v>
                </c:pt>
                <c:pt idx="3">
                  <c:v>2.5</c:v>
                </c:pt>
                <c:pt idx="4">
                  <c:v>3.3333333333333335</c:v>
                </c:pt>
                <c:pt idx="5">
                  <c:v>4.166666666666667</c:v>
                </c:pt>
                <c:pt idx="6">
                  <c:v>5</c:v>
                </c:pt>
                <c:pt idx="7">
                  <c:v>5.833333333333333</c:v>
                </c:pt>
                <c:pt idx="8">
                  <c:v>6.666666666666667</c:v>
                </c:pt>
                <c:pt idx="9">
                  <c:v>7.5</c:v>
                </c:pt>
                <c:pt idx="10">
                  <c:v>8.3333333333333339</c:v>
                </c:pt>
                <c:pt idx="11">
                  <c:v>9.1666666666666661</c:v>
                </c:pt>
                <c:pt idx="12">
                  <c:v>10</c:v>
                </c:pt>
                <c:pt idx="13">
                  <c:v>10.833333333333334</c:v>
                </c:pt>
                <c:pt idx="14">
                  <c:v>11.666666666666666</c:v>
                </c:pt>
                <c:pt idx="15">
                  <c:v>12.5</c:v>
                </c:pt>
                <c:pt idx="16">
                  <c:v>13.333333333333334</c:v>
                </c:pt>
                <c:pt idx="17">
                  <c:v>14.166666666666666</c:v>
                </c:pt>
                <c:pt idx="18">
                  <c:v>15</c:v>
                </c:pt>
                <c:pt idx="19">
                  <c:v>15.833333333333334</c:v>
                </c:pt>
                <c:pt idx="20">
                  <c:v>16.666666666666668</c:v>
                </c:pt>
                <c:pt idx="21">
                  <c:v>17.5</c:v>
                </c:pt>
                <c:pt idx="22">
                  <c:v>18.333333333333332</c:v>
                </c:pt>
                <c:pt idx="23">
                  <c:v>19.166666666666668</c:v>
                </c:pt>
                <c:pt idx="24">
                  <c:v>20</c:v>
                </c:pt>
                <c:pt idx="25">
                  <c:v>20.833333333333332</c:v>
                </c:pt>
                <c:pt idx="26">
                  <c:v>21.666666666666668</c:v>
                </c:pt>
                <c:pt idx="27">
                  <c:v>22.5</c:v>
                </c:pt>
                <c:pt idx="28">
                  <c:v>23.333333333333332</c:v>
                </c:pt>
                <c:pt idx="29">
                  <c:v>24.166666666666668</c:v>
                </c:pt>
                <c:pt idx="30">
                  <c:v>25</c:v>
                </c:pt>
                <c:pt idx="31">
                  <c:v>25.833333333333332</c:v>
                </c:pt>
                <c:pt idx="32">
                  <c:v>26.666666666666668</c:v>
                </c:pt>
                <c:pt idx="33">
                  <c:v>27.5</c:v>
                </c:pt>
                <c:pt idx="34">
                  <c:v>28.333333333333332</c:v>
                </c:pt>
                <c:pt idx="35">
                  <c:v>29.166666666666668</c:v>
                </c:pt>
                <c:pt idx="36">
                  <c:v>30</c:v>
                </c:pt>
                <c:pt idx="37">
                  <c:v>30.833333333333332</c:v>
                </c:pt>
                <c:pt idx="38">
                  <c:v>31.666666666666668</c:v>
                </c:pt>
                <c:pt idx="39">
                  <c:v>32.5</c:v>
                </c:pt>
                <c:pt idx="40">
                  <c:v>33.333333333333336</c:v>
                </c:pt>
                <c:pt idx="41">
                  <c:v>34.166666666666664</c:v>
                </c:pt>
                <c:pt idx="42">
                  <c:v>35</c:v>
                </c:pt>
                <c:pt idx="43">
                  <c:v>35.833333333333336</c:v>
                </c:pt>
                <c:pt idx="44">
                  <c:v>36.666666666666664</c:v>
                </c:pt>
                <c:pt idx="45">
                  <c:v>37.5</c:v>
                </c:pt>
                <c:pt idx="46">
                  <c:v>38.333333333333336</c:v>
                </c:pt>
                <c:pt idx="47">
                  <c:v>39.166666666666664</c:v>
                </c:pt>
                <c:pt idx="48">
                  <c:v>40</c:v>
                </c:pt>
                <c:pt idx="49">
                  <c:v>40.833333333333336</c:v>
                </c:pt>
                <c:pt idx="50">
                  <c:v>41.666666666666664</c:v>
                </c:pt>
                <c:pt idx="51">
                  <c:v>42.5</c:v>
                </c:pt>
                <c:pt idx="52">
                  <c:v>43.333333333333336</c:v>
                </c:pt>
                <c:pt idx="53">
                  <c:v>44.166666666666664</c:v>
                </c:pt>
                <c:pt idx="54">
                  <c:v>45</c:v>
                </c:pt>
                <c:pt idx="55">
                  <c:v>45.833333333333336</c:v>
                </c:pt>
                <c:pt idx="56">
                  <c:v>46.666666666666664</c:v>
                </c:pt>
                <c:pt idx="57">
                  <c:v>47.5</c:v>
                </c:pt>
                <c:pt idx="58">
                  <c:v>48.333333333333336</c:v>
                </c:pt>
                <c:pt idx="59">
                  <c:v>49.166666666666664</c:v>
                </c:pt>
                <c:pt idx="60">
                  <c:v>50</c:v>
                </c:pt>
              </c:numCache>
            </c:numRef>
          </c:xVal>
          <c:yVal>
            <c:numRef>
              <c:f>Sheet2!$Y$2:$Y$62</c:f>
              <c:numCache>
                <c:formatCode>0.00</c:formatCode>
                <c:ptCount val="61"/>
                <c:pt idx="0">
                  <c:v>158.53403749124735</c:v>
                </c:pt>
                <c:pt idx="1">
                  <c:v>154.32094047329474</c:v>
                </c:pt>
                <c:pt idx="2">
                  <c:v>150.13842031839431</c:v>
                </c:pt>
                <c:pt idx="3">
                  <c:v>145.98910508903816</c:v>
                </c:pt>
                <c:pt idx="4">
                  <c:v>141.8759081576161</c:v>
                </c:pt>
                <c:pt idx="5">
                  <c:v>137.80206380259023</c:v>
                </c:pt>
                <c:pt idx="6">
                  <c:v>133.77116738226016</c:v>
                </c:pt>
                <c:pt idx="7">
                  <c:v>129.7872205543631</c:v>
                </c:pt>
                <c:pt idx="8">
                  <c:v>125.85468198480288</c:v>
                </c:pt>
                <c:pt idx="9">
                  <c:v>121.97852391966185</c:v>
                </c:pt>
                <c:pt idx="10">
                  <c:v>118.16429485930971</c:v>
                </c:pt>
                <c:pt idx="11">
                  <c:v>114.41818834184973</c:v>
                </c:pt>
                <c:pt idx="12">
                  <c:v>110.74711747543948</c:v>
                </c:pt>
                <c:pt idx="13">
                  <c:v>107.15879430388017</c:v>
                </c:pt>
                <c:pt idx="14">
                  <c:v>103.66181228426672</c:v>
                </c:pt>
                <c:pt idx="15">
                  <c:v>100.26572902697355</c:v>
                </c:pt>
                <c:pt idx="16">
                  <c:v>96.981144922181315</c:v>
                </c:pt>
                <c:pt idx="17">
                  <c:v>93.819771292508065</c:v>
                </c:pt>
                <c:pt idx="18">
                  <c:v>90.794479249536963</c:v>
                </c:pt>
                <c:pt idx="19">
                  <c:v>87.919317563692388</c:v>
                </c:pt>
                <c:pt idx="20">
                  <c:v>85.209484808857468</c:v>
                </c:pt>
                <c:pt idx="21">
                  <c:v>82.681238281554101</c:v>
                </c:pt>
                <c:pt idx="22">
                  <c:v>80.351720504330601</c:v>
                </c:pt>
                <c:pt idx="23">
                  <c:v>78.238684639350382</c:v>
                </c:pt>
                <c:pt idx="24">
                  <c:v>76.360104256346332</c:v>
                </c:pt>
                <c:pt idx="25">
                  <c:v>74.73366197262888</c:v>
                </c:pt>
                <c:pt idx="26">
                  <c:v>73.376126250252213</c:v>
                </c:pt>
                <c:pt idx="27">
                  <c:v>72.302645435706239</c:v>
                </c:pt>
                <c:pt idx="28">
                  <c:v>71.526010180665523</c:v>
                </c:pt>
                <c:pt idx="29">
                  <c:v>71.05595463845799</c:v>
                </c:pt>
                <c:pt idx="30">
                  <c:v>70.898576915585849</c:v>
                </c:pt>
                <c:pt idx="31">
                  <c:v>71.05595463845799</c:v>
                </c:pt>
                <c:pt idx="32">
                  <c:v>71.526010180665523</c:v>
                </c:pt>
                <c:pt idx="33">
                  <c:v>72.302645435706239</c:v>
                </c:pt>
                <c:pt idx="34">
                  <c:v>73.376126250252213</c:v>
                </c:pt>
                <c:pt idx="35">
                  <c:v>74.73366197262888</c:v>
                </c:pt>
                <c:pt idx="36">
                  <c:v>76.360104256346332</c:v>
                </c:pt>
                <c:pt idx="37">
                  <c:v>78.238684639350382</c:v>
                </c:pt>
                <c:pt idx="38">
                  <c:v>80.351720504330601</c:v>
                </c:pt>
                <c:pt idx="39">
                  <c:v>82.681238281554101</c:v>
                </c:pt>
                <c:pt idx="40">
                  <c:v>85.209484808857468</c:v>
                </c:pt>
                <c:pt idx="41">
                  <c:v>87.919317563692388</c:v>
                </c:pt>
                <c:pt idx="42">
                  <c:v>90.794479249536963</c:v>
                </c:pt>
                <c:pt idx="43">
                  <c:v>93.819771292508065</c:v>
                </c:pt>
                <c:pt idx="44">
                  <c:v>96.981144922181315</c:v>
                </c:pt>
                <c:pt idx="45">
                  <c:v>100.26572902697355</c:v>
                </c:pt>
                <c:pt idx="46">
                  <c:v>103.66181228426672</c:v>
                </c:pt>
                <c:pt idx="47">
                  <c:v>107.15879430388017</c:v>
                </c:pt>
                <c:pt idx="48">
                  <c:v>110.74711747543948</c:v>
                </c:pt>
                <c:pt idx="49">
                  <c:v>114.41818834184973</c:v>
                </c:pt>
                <c:pt idx="50">
                  <c:v>118.16429485930971</c:v>
                </c:pt>
                <c:pt idx="51">
                  <c:v>121.97852391966185</c:v>
                </c:pt>
                <c:pt idx="52">
                  <c:v>125.85468198480288</c:v>
                </c:pt>
                <c:pt idx="53">
                  <c:v>129.7872205543631</c:v>
                </c:pt>
                <c:pt idx="54">
                  <c:v>133.77116738226016</c:v>
                </c:pt>
                <c:pt idx="55">
                  <c:v>137.80206380259023</c:v>
                </c:pt>
                <c:pt idx="56">
                  <c:v>141.8759081576161</c:v>
                </c:pt>
                <c:pt idx="57">
                  <c:v>145.98910508903816</c:v>
                </c:pt>
                <c:pt idx="58">
                  <c:v>150.13842031839437</c:v>
                </c:pt>
                <c:pt idx="59">
                  <c:v>154.32094047329468</c:v>
                </c:pt>
                <c:pt idx="60">
                  <c:v>158.53403749124735</c:v>
                </c:pt>
              </c:numCache>
            </c:numRef>
          </c:yVal>
          <c:smooth val="1"/>
          <c:extLst>
            <c:ext xmlns:c16="http://schemas.microsoft.com/office/drawing/2014/chart" uri="{C3380CC4-5D6E-409C-BE32-E72D297353CC}">
              <c16:uniqueId val="{00000004-9EEB-4E4C-9AEA-477AEC822777}"/>
            </c:ext>
          </c:extLst>
        </c:ser>
        <c:ser>
          <c:idx val="3"/>
          <c:order val="3"/>
          <c:tx>
            <c:v>Minimum Beam Diameter</c:v>
          </c:tx>
          <c:spPr>
            <a:ln w="19050" cap="rnd">
              <a:solidFill>
                <a:schemeClr val="tx1">
                  <a:lumMod val="50000"/>
                  <a:lumOff val="50000"/>
                </a:schemeClr>
              </a:solidFill>
              <a:prstDash val="sysDash"/>
              <a:round/>
            </a:ln>
            <a:effectLst/>
          </c:spPr>
          <c:marker>
            <c:symbol val="none"/>
          </c:marker>
          <c:xVal>
            <c:numRef>
              <c:f>Sheet2!$S$2:$S$62</c:f>
              <c:numCache>
                <c:formatCode>0.00</c:formatCode>
                <c:ptCount val="61"/>
                <c:pt idx="0">
                  <c:v>0</c:v>
                </c:pt>
                <c:pt idx="1">
                  <c:v>0.83333333333333337</c:v>
                </c:pt>
                <c:pt idx="2">
                  <c:v>1.6666666666666667</c:v>
                </c:pt>
                <c:pt idx="3">
                  <c:v>2.5</c:v>
                </c:pt>
                <c:pt idx="4">
                  <c:v>3.3333333333333335</c:v>
                </c:pt>
                <c:pt idx="5">
                  <c:v>4.166666666666667</c:v>
                </c:pt>
                <c:pt idx="6">
                  <c:v>5</c:v>
                </c:pt>
                <c:pt idx="7">
                  <c:v>5.833333333333333</c:v>
                </c:pt>
                <c:pt idx="8">
                  <c:v>6.666666666666667</c:v>
                </c:pt>
                <c:pt idx="9">
                  <c:v>7.5</c:v>
                </c:pt>
                <c:pt idx="10">
                  <c:v>8.3333333333333339</c:v>
                </c:pt>
                <c:pt idx="11">
                  <c:v>9.1666666666666661</c:v>
                </c:pt>
                <c:pt idx="12">
                  <c:v>10</c:v>
                </c:pt>
                <c:pt idx="13">
                  <c:v>10.833333333333334</c:v>
                </c:pt>
                <c:pt idx="14">
                  <c:v>11.666666666666666</c:v>
                </c:pt>
                <c:pt idx="15">
                  <c:v>12.5</c:v>
                </c:pt>
                <c:pt idx="16">
                  <c:v>13.333333333333334</c:v>
                </c:pt>
                <c:pt idx="17">
                  <c:v>14.166666666666666</c:v>
                </c:pt>
                <c:pt idx="18">
                  <c:v>15</c:v>
                </c:pt>
                <c:pt idx="19">
                  <c:v>15.833333333333334</c:v>
                </c:pt>
                <c:pt idx="20">
                  <c:v>16.666666666666668</c:v>
                </c:pt>
                <c:pt idx="21">
                  <c:v>17.5</c:v>
                </c:pt>
                <c:pt idx="22">
                  <c:v>18.333333333333332</c:v>
                </c:pt>
                <c:pt idx="23">
                  <c:v>19.166666666666668</c:v>
                </c:pt>
                <c:pt idx="24">
                  <c:v>20</c:v>
                </c:pt>
                <c:pt idx="25">
                  <c:v>20.833333333333332</c:v>
                </c:pt>
                <c:pt idx="26">
                  <c:v>21.666666666666668</c:v>
                </c:pt>
                <c:pt idx="27">
                  <c:v>22.5</c:v>
                </c:pt>
                <c:pt idx="28">
                  <c:v>23.333333333333332</c:v>
                </c:pt>
                <c:pt idx="29">
                  <c:v>24.166666666666668</c:v>
                </c:pt>
                <c:pt idx="30">
                  <c:v>25</c:v>
                </c:pt>
                <c:pt idx="31">
                  <c:v>25.833333333333332</c:v>
                </c:pt>
                <c:pt idx="32">
                  <c:v>26.666666666666668</c:v>
                </c:pt>
                <c:pt idx="33">
                  <c:v>27.5</c:v>
                </c:pt>
                <c:pt idx="34">
                  <c:v>28.333333333333332</c:v>
                </c:pt>
                <c:pt idx="35">
                  <c:v>29.166666666666668</c:v>
                </c:pt>
                <c:pt idx="36">
                  <c:v>30</c:v>
                </c:pt>
                <c:pt idx="37">
                  <c:v>30.833333333333332</c:v>
                </c:pt>
                <c:pt idx="38">
                  <c:v>31.666666666666668</c:v>
                </c:pt>
                <c:pt idx="39">
                  <c:v>32.5</c:v>
                </c:pt>
                <c:pt idx="40">
                  <c:v>33.333333333333336</c:v>
                </c:pt>
                <c:pt idx="41">
                  <c:v>34.166666666666664</c:v>
                </c:pt>
                <c:pt idx="42">
                  <c:v>35</c:v>
                </c:pt>
                <c:pt idx="43">
                  <c:v>35.833333333333336</c:v>
                </c:pt>
                <c:pt idx="44">
                  <c:v>36.666666666666664</c:v>
                </c:pt>
                <c:pt idx="45">
                  <c:v>37.5</c:v>
                </c:pt>
                <c:pt idx="46">
                  <c:v>38.333333333333336</c:v>
                </c:pt>
                <c:pt idx="47">
                  <c:v>39.166666666666664</c:v>
                </c:pt>
                <c:pt idx="48">
                  <c:v>40</c:v>
                </c:pt>
                <c:pt idx="49">
                  <c:v>40.833333333333336</c:v>
                </c:pt>
                <c:pt idx="50">
                  <c:v>41.666666666666664</c:v>
                </c:pt>
                <c:pt idx="51">
                  <c:v>42.5</c:v>
                </c:pt>
                <c:pt idx="52">
                  <c:v>43.333333333333336</c:v>
                </c:pt>
                <c:pt idx="53">
                  <c:v>44.166666666666664</c:v>
                </c:pt>
                <c:pt idx="54">
                  <c:v>45</c:v>
                </c:pt>
                <c:pt idx="55">
                  <c:v>45.833333333333336</c:v>
                </c:pt>
                <c:pt idx="56">
                  <c:v>46.666666666666664</c:v>
                </c:pt>
                <c:pt idx="57">
                  <c:v>47.5</c:v>
                </c:pt>
                <c:pt idx="58">
                  <c:v>48.333333333333336</c:v>
                </c:pt>
                <c:pt idx="59">
                  <c:v>49.166666666666664</c:v>
                </c:pt>
                <c:pt idx="60">
                  <c:v>50</c:v>
                </c:pt>
              </c:numCache>
            </c:numRef>
          </c:xVal>
          <c:yVal>
            <c:numRef>
              <c:f>Sheet2!$Z$2:$Z$62</c:f>
              <c:numCache>
                <c:formatCode>General</c:formatCode>
                <c:ptCount val="61"/>
                <c:pt idx="0">
                  <c:v>55</c:v>
                </c:pt>
                <c:pt idx="1">
                  <c:v>55</c:v>
                </c:pt>
                <c:pt idx="2">
                  <c:v>55</c:v>
                </c:pt>
                <c:pt idx="3">
                  <c:v>55</c:v>
                </c:pt>
                <c:pt idx="4">
                  <c:v>55</c:v>
                </c:pt>
                <c:pt idx="5">
                  <c:v>55</c:v>
                </c:pt>
                <c:pt idx="6">
                  <c:v>55</c:v>
                </c:pt>
                <c:pt idx="7">
                  <c:v>55</c:v>
                </c:pt>
                <c:pt idx="8">
                  <c:v>55</c:v>
                </c:pt>
                <c:pt idx="9">
                  <c:v>55</c:v>
                </c:pt>
                <c:pt idx="10">
                  <c:v>55</c:v>
                </c:pt>
                <c:pt idx="11">
                  <c:v>55</c:v>
                </c:pt>
                <c:pt idx="12">
                  <c:v>55</c:v>
                </c:pt>
                <c:pt idx="13">
                  <c:v>55</c:v>
                </c:pt>
                <c:pt idx="14">
                  <c:v>55</c:v>
                </c:pt>
                <c:pt idx="15">
                  <c:v>55</c:v>
                </c:pt>
                <c:pt idx="16">
                  <c:v>55</c:v>
                </c:pt>
                <c:pt idx="17">
                  <c:v>55</c:v>
                </c:pt>
                <c:pt idx="18">
                  <c:v>55</c:v>
                </c:pt>
                <c:pt idx="19">
                  <c:v>55</c:v>
                </c:pt>
                <c:pt idx="20">
                  <c:v>55</c:v>
                </c:pt>
                <c:pt idx="21">
                  <c:v>55</c:v>
                </c:pt>
                <c:pt idx="22">
                  <c:v>55</c:v>
                </c:pt>
                <c:pt idx="23">
                  <c:v>55</c:v>
                </c:pt>
                <c:pt idx="24">
                  <c:v>55</c:v>
                </c:pt>
                <c:pt idx="25">
                  <c:v>55</c:v>
                </c:pt>
                <c:pt idx="26">
                  <c:v>55</c:v>
                </c:pt>
                <c:pt idx="27">
                  <c:v>55</c:v>
                </c:pt>
                <c:pt idx="28">
                  <c:v>55</c:v>
                </c:pt>
                <c:pt idx="29">
                  <c:v>55</c:v>
                </c:pt>
                <c:pt idx="30">
                  <c:v>55</c:v>
                </c:pt>
                <c:pt idx="31">
                  <c:v>55</c:v>
                </c:pt>
                <c:pt idx="32">
                  <c:v>55</c:v>
                </c:pt>
                <c:pt idx="33">
                  <c:v>55</c:v>
                </c:pt>
                <c:pt idx="34">
                  <c:v>55</c:v>
                </c:pt>
                <c:pt idx="35">
                  <c:v>55</c:v>
                </c:pt>
                <c:pt idx="36">
                  <c:v>55</c:v>
                </c:pt>
                <c:pt idx="37">
                  <c:v>55</c:v>
                </c:pt>
                <c:pt idx="38">
                  <c:v>55</c:v>
                </c:pt>
                <c:pt idx="39">
                  <c:v>55</c:v>
                </c:pt>
                <c:pt idx="40">
                  <c:v>55</c:v>
                </c:pt>
                <c:pt idx="41">
                  <c:v>55</c:v>
                </c:pt>
                <c:pt idx="42">
                  <c:v>55</c:v>
                </c:pt>
                <c:pt idx="43">
                  <c:v>55</c:v>
                </c:pt>
                <c:pt idx="44">
                  <c:v>55</c:v>
                </c:pt>
                <c:pt idx="45">
                  <c:v>55</c:v>
                </c:pt>
                <c:pt idx="46">
                  <c:v>55</c:v>
                </c:pt>
                <c:pt idx="47">
                  <c:v>55</c:v>
                </c:pt>
                <c:pt idx="48">
                  <c:v>55</c:v>
                </c:pt>
                <c:pt idx="49">
                  <c:v>55</c:v>
                </c:pt>
                <c:pt idx="50">
                  <c:v>55</c:v>
                </c:pt>
                <c:pt idx="51">
                  <c:v>55</c:v>
                </c:pt>
                <c:pt idx="52">
                  <c:v>55</c:v>
                </c:pt>
                <c:pt idx="53">
                  <c:v>55</c:v>
                </c:pt>
                <c:pt idx="54">
                  <c:v>55</c:v>
                </c:pt>
                <c:pt idx="55">
                  <c:v>55</c:v>
                </c:pt>
                <c:pt idx="56">
                  <c:v>55</c:v>
                </c:pt>
                <c:pt idx="57">
                  <c:v>55</c:v>
                </c:pt>
                <c:pt idx="58">
                  <c:v>55</c:v>
                </c:pt>
                <c:pt idx="59">
                  <c:v>55</c:v>
                </c:pt>
                <c:pt idx="60">
                  <c:v>55</c:v>
                </c:pt>
              </c:numCache>
            </c:numRef>
          </c:yVal>
          <c:smooth val="1"/>
          <c:extLst>
            <c:ext xmlns:c16="http://schemas.microsoft.com/office/drawing/2014/chart" uri="{C3380CC4-5D6E-409C-BE32-E72D297353CC}">
              <c16:uniqueId val="{00000005-9EEB-4E4C-9AEA-477AEC822777}"/>
            </c:ext>
          </c:extLst>
        </c:ser>
        <c:ser>
          <c:idx val="4"/>
          <c:order val="4"/>
          <c:tx>
            <c:v>Simulated M2 Measurement</c:v>
          </c:tx>
          <c:spPr>
            <a:ln w="19050" cap="rnd">
              <a:noFill/>
              <a:round/>
            </a:ln>
            <a:effectLst/>
          </c:spPr>
          <c:marker>
            <c:symbol val="plus"/>
            <c:size val="5"/>
            <c:spPr>
              <a:noFill/>
              <a:ln w="9525">
                <a:solidFill>
                  <a:schemeClr val="tx1"/>
                </a:solidFill>
              </a:ln>
              <a:effectLst/>
            </c:spPr>
          </c:marker>
          <c:xVal>
            <c:numRef>
              <c:f>Sheet2!$AB$2:$AB$62</c:f>
              <c:numCache>
                <c:formatCode>0.000</c:formatCode>
                <c:ptCount val="61"/>
                <c:pt idx="0">
                  <c:v>9.048933918398518</c:v>
                </c:pt>
                <c:pt idx="1">
                  <c:v>9.5806361211185678</c:v>
                </c:pt>
                <c:pt idx="2">
                  <c:v>10.112338323838618</c:v>
                </c:pt>
                <c:pt idx="3">
                  <c:v>10.644040526558666</c:v>
                </c:pt>
                <c:pt idx="4">
                  <c:v>11.175742729278715</c:v>
                </c:pt>
                <c:pt idx="5">
                  <c:v>11.707444931998765</c:v>
                </c:pt>
                <c:pt idx="6">
                  <c:v>12.239147134718815</c:v>
                </c:pt>
                <c:pt idx="7">
                  <c:v>12.770849337438865</c:v>
                </c:pt>
                <c:pt idx="8">
                  <c:v>13.302551540158913</c:v>
                </c:pt>
                <c:pt idx="9">
                  <c:v>13.834253742878964</c:v>
                </c:pt>
                <c:pt idx="10">
                  <c:v>14.365955945599012</c:v>
                </c:pt>
                <c:pt idx="11">
                  <c:v>14.897658148319062</c:v>
                </c:pt>
                <c:pt idx="12">
                  <c:v>15.429360351039112</c:v>
                </c:pt>
                <c:pt idx="13">
                  <c:v>15.961062553759159</c:v>
                </c:pt>
                <c:pt idx="14">
                  <c:v>16.492764756479211</c:v>
                </c:pt>
                <c:pt idx="15">
                  <c:v>17.024466959199259</c:v>
                </c:pt>
                <c:pt idx="16">
                  <c:v>17.556169161919307</c:v>
                </c:pt>
                <c:pt idx="17">
                  <c:v>18.087871364639359</c:v>
                </c:pt>
                <c:pt idx="18">
                  <c:v>18.61957356735941</c:v>
                </c:pt>
                <c:pt idx="19">
                  <c:v>19.151275770079458</c:v>
                </c:pt>
                <c:pt idx="20">
                  <c:v>19.682977972799506</c:v>
                </c:pt>
                <c:pt idx="21">
                  <c:v>20.214680175519554</c:v>
                </c:pt>
                <c:pt idx="22">
                  <c:v>20.746382378239606</c:v>
                </c:pt>
                <c:pt idx="23">
                  <c:v>21.278084580959657</c:v>
                </c:pt>
                <c:pt idx="24">
                  <c:v>21.809786783679705</c:v>
                </c:pt>
                <c:pt idx="25">
                  <c:v>22.341488986399753</c:v>
                </c:pt>
                <c:pt idx="26">
                  <c:v>22.873191189119801</c:v>
                </c:pt>
                <c:pt idx="27">
                  <c:v>23.404893391839853</c:v>
                </c:pt>
                <c:pt idx="28">
                  <c:v>23.936595594559904</c:v>
                </c:pt>
                <c:pt idx="29">
                  <c:v>24.468297797279952</c:v>
                </c:pt>
                <c:pt idx="30">
                  <c:v>25</c:v>
                </c:pt>
                <c:pt idx="31">
                  <c:v>25.531702202720052</c:v>
                </c:pt>
                <c:pt idx="32">
                  <c:v>26.0634044054401</c:v>
                </c:pt>
                <c:pt idx="33">
                  <c:v>26.595106608160147</c:v>
                </c:pt>
                <c:pt idx="34">
                  <c:v>27.126808810880199</c:v>
                </c:pt>
                <c:pt idx="35">
                  <c:v>27.658511013600247</c:v>
                </c:pt>
                <c:pt idx="36">
                  <c:v>28.190213216320299</c:v>
                </c:pt>
                <c:pt idx="37">
                  <c:v>28.721915419040347</c:v>
                </c:pt>
                <c:pt idx="38">
                  <c:v>29.253617621760394</c:v>
                </c:pt>
                <c:pt idx="39">
                  <c:v>29.785319824480446</c:v>
                </c:pt>
                <c:pt idx="40">
                  <c:v>30.317022027200494</c:v>
                </c:pt>
                <c:pt idx="41">
                  <c:v>30.848724229920546</c:v>
                </c:pt>
                <c:pt idx="42">
                  <c:v>31.380426432640594</c:v>
                </c:pt>
                <c:pt idx="43">
                  <c:v>31.912128635360641</c:v>
                </c:pt>
                <c:pt idx="44">
                  <c:v>32.443830838080693</c:v>
                </c:pt>
                <c:pt idx="45">
                  <c:v>32.975533040800741</c:v>
                </c:pt>
                <c:pt idx="46">
                  <c:v>33.507235243520796</c:v>
                </c:pt>
                <c:pt idx="47">
                  <c:v>34.038937446240837</c:v>
                </c:pt>
                <c:pt idx="48">
                  <c:v>34.570639648960892</c:v>
                </c:pt>
                <c:pt idx="49">
                  <c:v>35.10234185168094</c:v>
                </c:pt>
                <c:pt idx="50">
                  <c:v>35.634044054400988</c:v>
                </c:pt>
                <c:pt idx="51">
                  <c:v>36.165746257121043</c:v>
                </c:pt>
                <c:pt idx="52">
                  <c:v>36.697448459841084</c:v>
                </c:pt>
                <c:pt idx="53">
                  <c:v>37.229150662561139</c:v>
                </c:pt>
                <c:pt idx="54">
                  <c:v>37.760852865281187</c:v>
                </c:pt>
                <c:pt idx="55">
                  <c:v>38.292555068001235</c:v>
                </c:pt>
                <c:pt idx="56">
                  <c:v>38.82425727072129</c:v>
                </c:pt>
                <c:pt idx="57">
                  <c:v>39.355959473441331</c:v>
                </c:pt>
                <c:pt idx="58">
                  <c:v>39.887661676161386</c:v>
                </c:pt>
                <c:pt idx="59">
                  <c:v>40.419363878881434</c:v>
                </c:pt>
                <c:pt idx="60">
                  <c:v>40.951066081601482</c:v>
                </c:pt>
              </c:numCache>
            </c:numRef>
          </c:xVal>
          <c:yVal>
            <c:numRef>
              <c:f>Sheet2!$AD$2:$AD$62</c:f>
              <c:numCache>
                <c:formatCode>0.00</c:formatCode>
                <c:ptCount val="61"/>
                <c:pt idx="0">
                  <c:v>224.20098591788684</c:v>
                </c:pt>
                <c:pt idx="1">
                  <c:v>217.48651278515146</c:v>
                </c:pt>
                <c:pt idx="2">
                  <c:v>210.79662370282961</c:v>
                </c:pt>
                <c:pt idx="3">
                  <c:v>204.13373569734148</c:v>
                </c:pt>
                <c:pt idx="4">
                  <c:v>197.50058151601669</c:v>
                </c:pt>
                <c:pt idx="5">
                  <c:v>190.90026064086595</c:v>
                </c:pt>
                <c:pt idx="6">
                  <c:v>184.33629998052325</c:v>
                </c:pt>
                <c:pt idx="7">
                  <c:v>177.81272629494623</c:v>
                </c:pt>
                <c:pt idx="8">
                  <c:v>171.33415286669117</c:v>
                </c:pt>
                <c:pt idx="9">
                  <c:v>164.90588348759701</c:v>
                </c:pt>
                <c:pt idx="10">
                  <c:v>158.5340374912474</c:v>
                </c:pt>
                <c:pt idx="11">
                  <c:v>152.22570033309313</c:v>
                </c:pt>
                <c:pt idx="12">
                  <c:v>145.98910508903811</c:v>
                </c:pt>
                <c:pt idx="13">
                  <c:v>139.83385116512008</c:v>
                </c:pt>
                <c:pt idx="14">
                  <c:v>133.7711673822603</c:v>
                </c:pt>
                <c:pt idx="15">
                  <c:v>127.81422721328622</c:v>
                </c:pt>
                <c:pt idx="16">
                  <c:v>121.97852391966185</c:v>
                </c:pt>
                <c:pt idx="17">
                  <c:v>116.28231198803448</c:v>
                </c:pt>
                <c:pt idx="18">
                  <c:v>110.74711747543935</c:v>
                </c:pt>
                <c:pt idx="19">
                  <c:v>105.3983118514149</c:v>
                </c:pt>
                <c:pt idx="20">
                  <c:v>100.26572902697359</c:v>
                </c:pt>
                <c:pt idx="21">
                  <c:v>95.384279929483057</c:v>
                </c:pt>
                <c:pt idx="22">
                  <c:v>90.794479249536892</c:v>
                </c:pt>
                <c:pt idx="23">
                  <c:v>86.542742219647337</c:v>
                </c:pt>
                <c:pt idx="24">
                  <c:v>82.681238281554172</c:v>
                </c:pt>
                <c:pt idx="25">
                  <c:v>79.267018745623687</c:v>
                </c:pt>
                <c:pt idx="26">
                  <c:v>76.360104256346318</c:v>
                </c:pt>
                <c:pt idx="27">
                  <c:v>74.020287404428572</c:v>
                </c:pt>
                <c:pt idx="28">
                  <c:v>72.302645435706197</c:v>
                </c:pt>
                <c:pt idx="29">
                  <c:v>71.252187971611065</c:v>
                </c:pt>
                <c:pt idx="30">
                  <c:v>70.898576915585849</c:v>
                </c:pt>
                <c:pt idx="31">
                  <c:v>71.252187971611065</c:v>
                </c:pt>
                <c:pt idx="32">
                  <c:v>72.302645435706282</c:v>
                </c:pt>
                <c:pt idx="33">
                  <c:v>74.020287404428572</c:v>
                </c:pt>
                <c:pt idx="34">
                  <c:v>76.360104256346318</c:v>
                </c:pt>
                <c:pt idx="35">
                  <c:v>79.267018745623687</c:v>
                </c:pt>
                <c:pt idx="36">
                  <c:v>82.681238281554172</c:v>
                </c:pt>
                <c:pt idx="37">
                  <c:v>86.542742219647337</c:v>
                </c:pt>
                <c:pt idx="38">
                  <c:v>90.794479249536892</c:v>
                </c:pt>
                <c:pt idx="39">
                  <c:v>95.384279929483057</c:v>
                </c:pt>
                <c:pt idx="40">
                  <c:v>100.26572902697359</c:v>
                </c:pt>
                <c:pt idx="41">
                  <c:v>105.3983118514149</c:v>
                </c:pt>
                <c:pt idx="42">
                  <c:v>110.74711747543965</c:v>
                </c:pt>
                <c:pt idx="43">
                  <c:v>116.28231198803448</c:v>
                </c:pt>
                <c:pt idx="44">
                  <c:v>121.97852391966185</c:v>
                </c:pt>
                <c:pt idx="45">
                  <c:v>127.81422721328622</c:v>
                </c:pt>
                <c:pt idx="46">
                  <c:v>133.7711673822603</c:v>
                </c:pt>
                <c:pt idx="47">
                  <c:v>139.83385116512008</c:v>
                </c:pt>
                <c:pt idx="48">
                  <c:v>145.98910508903845</c:v>
                </c:pt>
                <c:pt idx="49">
                  <c:v>152.22570033309313</c:v>
                </c:pt>
                <c:pt idx="50">
                  <c:v>158.5340374912474</c:v>
                </c:pt>
                <c:pt idx="51">
                  <c:v>164.90588348759701</c:v>
                </c:pt>
                <c:pt idx="52">
                  <c:v>171.33415286669083</c:v>
                </c:pt>
                <c:pt idx="53">
                  <c:v>177.81272629494623</c:v>
                </c:pt>
                <c:pt idx="54">
                  <c:v>184.33629998052325</c:v>
                </c:pt>
                <c:pt idx="55">
                  <c:v>190.90026064086595</c:v>
                </c:pt>
                <c:pt idx="56">
                  <c:v>197.50058151601669</c:v>
                </c:pt>
                <c:pt idx="57">
                  <c:v>204.13373569734148</c:v>
                </c:pt>
                <c:pt idx="58">
                  <c:v>210.79662370282992</c:v>
                </c:pt>
                <c:pt idx="59">
                  <c:v>217.48651278515146</c:v>
                </c:pt>
                <c:pt idx="60">
                  <c:v>224.20098591788684</c:v>
                </c:pt>
              </c:numCache>
            </c:numRef>
          </c:yVal>
          <c:smooth val="1"/>
          <c:extLst>
            <c:ext xmlns:c16="http://schemas.microsoft.com/office/drawing/2014/chart" uri="{C3380CC4-5D6E-409C-BE32-E72D297353CC}">
              <c16:uniqueId val="{00000000-CAA7-4D69-A996-F34DD3A49346}"/>
            </c:ext>
          </c:extLst>
        </c:ser>
        <c:dLbls>
          <c:showLegendKey val="0"/>
          <c:showVal val="0"/>
          <c:showCatName val="0"/>
          <c:showSerName val="0"/>
          <c:showPercent val="0"/>
          <c:showBubbleSize val="0"/>
        </c:dLbls>
        <c:axId val="438047520"/>
        <c:axId val="438047848"/>
      </c:scatterChart>
      <c:valAx>
        <c:axId val="4380475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b="0" i="0" u="none" strike="noStrike" baseline="0">
                    <a:effectLst/>
                  </a:rPr>
                  <a:t>Position Relative To Stage Zero </a:t>
                </a:r>
                <a:r>
                  <a:rPr lang="en-US" sz="1400"/>
                  <a:t>(mm)</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438047848"/>
        <c:crosses val="autoZero"/>
        <c:crossBetween val="midCat"/>
      </c:valAx>
      <c:valAx>
        <c:axId val="4380478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Beam Diameter (um)</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438047520"/>
        <c:crosses val="autoZero"/>
        <c:crossBetween val="midCat"/>
      </c:valAx>
      <c:spPr>
        <a:solidFill>
          <a:schemeClr val="accent1">
            <a:lumMod val="20000"/>
            <a:lumOff val="80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800"/>
              <a:t>Simulated</a:t>
            </a:r>
            <a:r>
              <a:rPr lang="en-US" sz="1800" baseline="0"/>
              <a:t> Diameter Across Recommended Range</a:t>
            </a:r>
          </a:p>
          <a:p>
            <a:pPr>
              <a:defRPr sz="1600"/>
            </a:pPr>
            <a:r>
              <a:rPr lang="en-US" sz="1400" u="sng"/>
              <a:t>M2 Curve Must Not</a:t>
            </a:r>
            <a:r>
              <a:rPr lang="en-US" sz="1400" u="sng" baseline="0"/>
              <a:t> Be Below Either Dashed Line</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1"/>
          <c:order val="0"/>
          <c:tx>
            <c:v>Beam Diameter (M2 Curve)</c:v>
          </c:tx>
          <c:spPr>
            <a:ln w="19050" cap="rnd">
              <a:solidFill>
                <a:srgbClr val="FF0066"/>
              </a:solidFill>
              <a:round/>
            </a:ln>
            <a:effectLst/>
          </c:spPr>
          <c:marker>
            <c:symbol val="plus"/>
            <c:size val="4"/>
            <c:spPr>
              <a:noFill/>
              <a:ln w="9525">
                <a:solidFill>
                  <a:schemeClr val="tx1"/>
                </a:solidFill>
              </a:ln>
              <a:effectLst/>
            </c:spPr>
          </c:marker>
          <c:xVal>
            <c:numRef>
              <c:f>Sheet2!$AB$2:$AB$62</c:f>
              <c:numCache>
                <c:formatCode>0.000</c:formatCode>
                <c:ptCount val="61"/>
                <c:pt idx="0">
                  <c:v>9.048933918398518</c:v>
                </c:pt>
                <c:pt idx="1">
                  <c:v>9.5806361211185678</c:v>
                </c:pt>
                <c:pt idx="2">
                  <c:v>10.112338323838618</c:v>
                </c:pt>
                <c:pt idx="3">
                  <c:v>10.644040526558666</c:v>
                </c:pt>
                <c:pt idx="4">
                  <c:v>11.175742729278715</c:v>
                </c:pt>
                <c:pt idx="5">
                  <c:v>11.707444931998765</c:v>
                </c:pt>
                <c:pt idx="6">
                  <c:v>12.239147134718815</c:v>
                </c:pt>
                <c:pt idx="7">
                  <c:v>12.770849337438865</c:v>
                </c:pt>
                <c:pt idx="8">
                  <c:v>13.302551540158913</c:v>
                </c:pt>
                <c:pt idx="9">
                  <c:v>13.834253742878964</c:v>
                </c:pt>
                <c:pt idx="10">
                  <c:v>14.365955945599012</c:v>
                </c:pt>
                <c:pt idx="11">
                  <c:v>14.897658148319062</c:v>
                </c:pt>
                <c:pt idx="12">
                  <c:v>15.429360351039112</c:v>
                </c:pt>
                <c:pt idx="13">
                  <c:v>15.961062553759159</c:v>
                </c:pt>
                <c:pt idx="14">
                  <c:v>16.492764756479211</c:v>
                </c:pt>
                <c:pt idx="15">
                  <c:v>17.024466959199259</c:v>
                </c:pt>
                <c:pt idx="16">
                  <c:v>17.556169161919307</c:v>
                </c:pt>
                <c:pt idx="17">
                  <c:v>18.087871364639359</c:v>
                </c:pt>
                <c:pt idx="18">
                  <c:v>18.61957356735941</c:v>
                </c:pt>
                <c:pt idx="19">
                  <c:v>19.151275770079458</c:v>
                </c:pt>
                <c:pt idx="20">
                  <c:v>19.682977972799506</c:v>
                </c:pt>
                <c:pt idx="21">
                  <c:v>20.214680175519554</c:v>
                </c:pt>
                <c:pt idx="22">
                  <c:v>20.746382378239606</c:v>
                </c:pt>
                <c:pt idx="23">
                  <c:v>21.278084580959657</c:v>
                </c:pt>
                <c:pt idx="24">
                  <c:v>21.809786783679705</c:v>
                </c:pt>
                <c:pt idx="25">
                  <c:v>22.341488986399753</c:v>
                </c:pt>
                <c:pt idx="26">
                  <c:v>22.873191189119801</c:v>
                </c:pt>
                <c:pt idx="27">
                  <c:v>23.404893391839853</c:v>
                </c:pt>
                <c:pt idx="28">
                  <c:v>23.936595594559904</c:v>
                </c:pt>
                <c:pt idx="29">
                  <c:v>24.468297797279952</c:v>
                </c:pt>
                <c:pt idx="30">
                  <c:v>25</c:v>
                </c:pt>
                <c:pt idx="31">
                  <c:v>25.531702202720052</c:v>
                </c:pt>
                <c:pt idx="32">
                  <c:v>26.0634044054401</c:v>
                </c:pt>
                <c:pt idx="33">
                  <c:v>26.595106608160147</c:v>
                </c:pt>
                <c:pt idx="34">
                  <c:v>27.126808810880199</c:v>
                </c:pt>
                <c:pt idx="35">
                  <c:v>27.658511013600247</c:v>
                </c:pt>
                <c:pt idx="36">
                  <c:v>28.190213216320299</c:v>
                </c:pt>
                <c:pt idx="37">
                  <c:v>28.721915419040347</c:v>
                </c:pt>
                <c:pt idx="38">
                  <c:v>29.253617621760394</c:v>
                </c:pt>
                <c:pt idx="39">
                  <c:v>29.785319824480446</c:v>
                </c:pt>
                <c:pt idx="40">
                  <c:v>30.317022027200494</c:v>
                </c:pt>
                <c:pt idx="41">
                  <c:v>30.848724229920546</c:v>
                </c:pt>
                <c:pt idx="42">
                  <c:v>31.380426432640594</c:v>
                </c:pt>
                <c:pt idx="43">
                  <c:v>31.912128635360641</c:v>
                </c:pt>
                <c:pt idx="44">
                  <c:v>32.443830838080693</c:v>
                </c:pt>
                <c:pt idx="45">
                  <c:v>32.975533040800741</c:v>
                </c:pt>
                <c:pt idx="46">
                  <c:v>33.507235243520796</c:v>
                </c:pt>
                <c:pt idx="47">
                  <c:v>34.038937446240837</c:v>
                </c:pt>
                <c:pt idx="48">
                  <c:v>34.570639648960892</c:v>
                </c:pt>
                <c:pt idx="49">
                  <c:v>35.10234185168094</c:v>
                </c:pt>
                <c:pt idx="50">
                  <c:v>35.634044054400988</c:v>
                </c:pt>
                <c:pt idx="51">
                  <c:v>36.165746257121043</c:v>
                </c:pt>
                <c:pt idx="52">
                  <c:v>36.697448459841084</c:v>
                </c:pt>
                <c:pt idx="53">
                  <c:v>37.229150662561139</c:v>
                </c:pt>
                <c:pt idx="54">
                  <c:v>37.760852865281187</c:v>
                </c:pt>
                <c:pt idx="55">
                  <c:v>38.292555068001235</c:v>
                </c:pt>
                <c:pt idx="56">
                  <c:v>38.82425727072129</c:v>
                </c:pt>
                <c:pt idx="57">
                  <c:v>39.355959473441331</c:v>
                </c:pt>
                <c:pt idx="58">
                  <c:v>39.887661676161386</c:v>
                </c:pt>
                <c:pt idx="59">
                  <c:v>40.419363878881434</c:v>
                </c:pt>
                <c:pt idx="60">
                  <c:v>40.951066081601482</c:v>
                </c:pt>
              </c:numCache>
            </c:numRef>
          </c:xVal>
          <c:yVal>
            <c:numRef>
              <c:f>Sheet2!$AD$2:$AD$62</c:f>
              <c:numCache>
                <c:formatCode>0.00</c:formatCode>
                <c:ptCount val="61"/>
                <c:pt idx="0">
                  <c:v>224.20098591788684</c:v>
                </c:pt>
                <c:pt idx="1">
                  <c:v>217.48651278515146</c:v>
                </c:pt>
                <c:pt idx="2">
                  <c:v>210.79662370282961</c:v>
                </c:pt>
                <c:pt idx="3">
                  <c:v>204.13373569734148</c:v>
                </c:pt>
                <c:pt idx="4">
                  <c:v>197.50058151601669</c:v>
                </c:pt>
                <c:pt idx="5">
                  <c:v>190.90026064086595</c:v>
                </c:pt>
                <c:pt idx="6">
                  <c:v>184.33629998052325</c:v>
                </c:pt>
                <c:pt idx="7">
                  <c:v>177.81272629494623</c:v>
                </c:pt>
                <c:pt idx="8">
                  <c:v>171.33415286669117</c:v>
                </c:pt>
                <c:pt idx="9">
                  <c:v>164.90588348759701</c:v>
                </c:pt>
                <c:pt idx="10">
                  <c:v>158.5340374912474</c:v>
                </c:pt>
                <c:pt idx="11">
                  <c:v>152.22570033309313</c:v>
                </c:pt>
                <c:pt idx="12">
                  <c:v>145.98910508903811</c:v>
                </c:pt>
                <c:pt idx="13">
                  <c:v>139.83385116512008</c:v>
                </c:pt>
                <c:pt idx="14">
                  <c:v>133.7711673822603</c:v>
                </c:pt>
                <c:pt idx="15">
                  <c:v>127.81422721328622</c:v>
                </c:pt>
                <c:pt idx="16">
                  <c:v>121.97852391966185</c:v>
                </c:pt>
                <c:pt idx="17">
                  <c:v>116.28231198803448</c:v>
                </c:pt>
                <c:pt idx="18">
                  <c:v>110.74711747543935</c:v>
                </c:pt>
                <c:pt idx="19">
                  <c:v>105.3983118514149</c:v>
                </c:pt>
                <c:pt idx="20">
                  <c:v>100.26572902697359</c:v>
                </c:pt>
                <c:pt idx="21">
                  <c:v>95.384279929483057</c:v>
                </c:pt>
                <c:pt idx="22">
                  <c:v>90.794479249536892</c:v>
                </c:pt>
                <c:pt idx="23">
                  <c:v>86.542742219647337</c:v>
                </c:pt>
                <c:pt idx="24">
                  <c:v>82.681238281554172</c:v>
                </c:pt>
                <c:pt idx="25">
                  <c:v>79.267018745623687</c:v>
                </c:pt>
                <c:pt idx="26">
                  <c:v>76.360104256346318</c:v>
                </c:pt>
                <c:pt idx="27">
                  <c:v>74.020287404428572</c:v>
                </c:pt>
                <c:pt idx="28">
                  <c:v>72.302645435706197</c:v>
                </c:pt>
                <c:pt idx="29">
                  <c:v>71.252187971611065</c:v>
                </c:pt>
                <c:pt idx="30">
                  <c:v>70.898576915585849</c:v>
                </c:pt>
                <c:pt idx="31">
                  <c:v>71.252187971611065</c:v>
                </c:pt>
                <c:pt idx="32">
                  <c:v>72.302645435706282</c:v>
                </c:pt>
                <c:pt idx="33">
                  <c:v>74.020287404428572</c:v>
                </c:pt>
                <c:pt idx="34">
                  <c:v>76.360104256346318</c:v>
                </c:pt>
                <c:pt idx="35">
                  <c:v>79.267018745623687</c:v>
                </c:pt>
                <c:pt idx="36">
                  <c:v>82.681238281554172</c:v>
                </c:pt>
                <c:pt idx="37">
                  <c:v>86.542742219647337</c:v>
                </c:pt>
                <c:pt idx="38">
                  <c:v>90.794479249536892</c:v>
                </c:pt>
                <c:pt idx="39">
                  <c:v>95.384279929483057</c:v>
                </c:pt>
                <c:pt idx="40">
                  <c:v>100.26572902697359</c:v>
                </c:pt>
                <c:pt idx="41">
                  <c:v>105.3983118514149</c:v>
                </c:pt>
                <c:pt idx="42">
                  <c:v>110.74711747543965</c:v>
                </c:pt>
                <c:pt idx="43">
                  <c:v>116.28231198803448</c:v>
                </c:pt>
                <c:pt idx="44">
                  <c:v>121.97852391966185</c:v>
                </c:pt>
                <c:pt idx="45">
                  <c:v>127.81422721328622</c:v>
                </c:pt>
                <c:pt idx="46">
                  <c:v>133.7711673822603</c:v>
                </c:pt>
                <c:pt idx="47">
                  <c:v>139.83385116512008</c:v>
                </c:pt>
                <c:pt idx="48">
                  <c:v>145.98910508903845</c:v>
                </c:pt>
                <c:pt idx="49">
                  <c:v>152.22570033309313</c:v>
                </c:pt>
                <c:pt idx="50">
                  <c:v>158.5340374912474</c:v>
                </c:pt>
                <c:pt idx="51">
                  <c:v>164.90588348759701</c:v>
                </c:pt>
                <c:pt idx="52">
                  <c:v>171.33415286669083</c:v>
                </c:pt>
                <c:pt idx="53">
                  <c:v>177.81272629494623</c:v>
                </c:pt>
                <c:pt idx="54">
                  <c:v>184.33629998052325</c:v>
                </c:pt>
                <c:pt idx="55">
                  <c:v>190.90026064086595</c:v>
                </c:pt>
                <c:pt idx="56">
                  <c:v>197.50058151601669</c:v>
                </c:pt>
                <c:pt idx="57">
                  <c:v>204.13373569734148</c:v>
                </c:pt>
                <c:pt idx="58">
                  <c:v>210.79662370282992</c:v>
                </c:pt>
                <c:pt idx="59">
                  <c:v>217.48651278515146</c:v>
                </c:pt>
                <c:pt idx="60">
                  <c:v>224.20098591788684</c:v>
                </c:pt>
              </c:numCache>
            </c:numRef>
          </c:yVal>
          <c:smooth val="1"/>
          <c:extLst>
            <c:ext xmlns:c16="http://schemas.microsoft.com/office/drawing/2014/chart" uri="{C3380CC4-5D6E-409C-BE32-E72D297353CC}">
              <c16:uniqueId val="{00000000-549B-4E91-BB43-4C2D0058C908}"/>
            </c:ext>
          </c:extLst>
        </c:ser>
        <c:ser>
          <c:idx val="0"/>
          <c:order val="1"/>
          <c:tx>
            <c:v>Beam Waist Plane</c:v>
          </c:tx>
          <c:spPr>
            <a:ln w="19050" cap="rnd">
              <a:noFill/>
              <a:round/>
            </a:ln>
            <a:effectLst/>
          </c:spPr>
          <c:marker>
            <c:symbol val="diamond"/>
            <c:size val="5"/>
            <c:spPr>
              <a:solidFill>
                <a:schemeClr val="accent1"/>
              </a:solidFill>
              <a:ln w="9525">
                <a:no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01-549B-4E91-BB43-4C2D0058C90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x"/>
            <c:errBarType val="both"/>
            <c:errValType val="stdErr"/>
            <c:noEndCap val="0"/>
            <c:spPr>
              <a:noFill/>
              <a:ln w="9525" cap="flat" cmpd="sng" algn="ctr">
                <a:noFill/>
                <a:round/>
              </a:ln>
              <a:effectLst/>
            </c:spPr>
          </c:errBars>
          <c:errBars>
            <c:errDir val="y"/>
            <c:errBarType val="plus"/>
            <c:errValType val="cust"/>
            <c:noEndCap val="1"/>
            <c:plus>
              <c:numRef>
                <c:f>'M2DU Measurement'!$G$7</c:f>
                <c:numCache>
                  <c:formatCode>General</c:formatCode>
                  <c:ptCount val="1"/>
                  <c:pt idx="0">
                    <c:v>70.898576915585849</c:v>
                  </c:pt>
                </c:numCache>
              </c:numRef>
            </c:plus>
            <c:minus>
              <c:numRef>
                <c:f>Sheet2!$Q$2</c:f>
                <c:numCache>
                  <c:formatCode>General</c:formatCode>
                  <c:ptCount val="1"/>
                  <c:pt idx="0">
                    <c:v>35.449288457792925</c:v>
                  </c:pt>
                </c:numCache>
              </c:numRef>
            </c:minus>
            <c:spPr>
              <a:noFill/>
              <a:ln w="9525" cap="flat" cmpd="sng" algn="ctr">
                <a:solidFill>
                  <a:schemeClr val="tx1">
                    <a:lumMod val="65000"/>
                    <a:lumOff val="35000"/>
                  </a:schemeClr>
                </a:solidFill>
                <a:round/>
              </a:ln>
              <a:effectLst/>
            </c:spPr>
          </c:errBars>
          <c:xVal>
            <c:numRef>
              <c:f>'M2DU Measurement'!$G$11</c:f>
              <c:numCache>
                <c:formatCode>0.00</c:formatCode>
                <c:ptCount val="1"/>
                <c:pt idx="0">
                  <c:v>25</c:v>
                </c:pt>
              </c:numCache>
            </c:numRef>
          </c:xVal>
          <c:yVal>
            <c:numLit>
              <c:formatCode>General</c:formatCode>
              <c:ptCount val="1"/>
              <c:pt idx="0">
                <c:v>0</c:v>
              </c:pt>
            </c:numLit>
          </c:yVal>
          <c:smooth val="1"/>
          <c:extLst>
            <c:ext xmlns:c16="http://schemas.microsoft.com/office/drawing/2014/chart" uri="{C3380CC4-5D6E-409C-BE32-E72D297353CC}">
              <c16:uniqueId val="{00000002-549B-4E91-BB43-4C2D0058C908}"/>
            </c:ext>
          </c:extLst>
        </c:ser>
        <c:ser>
          <c:idx val="2"/>
          <c:order val="2"/>
          <c:tx>
            <c:v>Rayleigh Length Limit</c:v>
          </c:tx>
          <c:spPr>
            <a:ln w="19050" cap="rnd">
              <a:solidFill>
                <a:schemeClr val="accent3"/>
              </a:solidFill>
              <a:prstDash val="dash"/>
              <a:round/>
            </a:ln>
            <a:effectLst/>
          </c:spPr>
          <c:marker>
            <c:symbol val="none"/>
          </c:marker>
          <c:xVal>
            <c:numRef>
              <c:f>Sheet2!$AB$2:$AB$62</c:f>
              <c:numCache>
                <c:formatCode>0.000</c:formatCode>
                <c:ptCount val="61"/>
                <c:pt idx="0">
                  <c:v>9.048933918398518</c:v>
                </c:pt>
                <c:pt idx="1">
                  <c:v>9.5806361211185678</c:v>
                </c:pt>
                <c:pt idx="2">
                  <c:v>10.112338323838618</c:v>
                </c:pt>
                <c:pt idx="3">
                  <c:v>10.644040526558666</c:v>
                </c:pt>
                <c:pt idx="4">
                  <c:v>11.175742729278715</c:v>
                </c:pt>
                <c:pt idx="5">
                  <c:v>11.707444931998765</c:v>
                </c:pt>
                <c:pt idx="6">
                  <c:v>12.239147134718815</c:v>
                </c:pt>
                <c:pt idx="7">
                  <c:v>12.770849337438865</c:v>
                </c:pt>
                <c:pt idx="8">
                  <c:v>13.302551540158913</c:v>
                </c:pt>
                <c:pt idx="9">
                  <c:v>13.834253742878964</c:v>
                </c:pt>
                <c:pt idx="10">
                  <c:v>14.365955945599012</c:v>
                </c:pt>
                <c:pt idx="11">
                  <c:v>14.897658148319062</c:v>
                </c:pt>
                <c:pt idx="12">
                  <c:v>15.429360351039112</c:v>
                </c:pt>
                <c:pt idx="13">
                  <c:v>15.961062553759159</c:v>
                </c:pt>
                <c:pt idx="14">
                  <c:v>16.492764756479211</c:v>
                </c:pt>
                <c:pt idx="15">
                  <c:v>17.024466959199259</c:v>
                </c:pt>
                <c:pt idx="16">
                  <c:v>17.556169161919307</c:v>
                </c:pt>
                <c:pt idx="17">
                  <c:v>18.087871364639359</c:v>
                </c:pt>
                <c:pt idx="18">
                  <c:v>18.61957356735941</c:v>
                </c:pt>
                <c:pt idx="19">
                  <c:v>19.151275770079458</c:v>
                </c:pt>
                <c:pt idx="20">
                  <c:v>19.682977972799506</c:v>
                </c:pt>
                <c:pt idx="21">
                  <c:v>20.214680175519554</c:v>
                </c:pt>
                <c:pt idx="22">
                  <c:v>20.746382378239606</c:v>
                </c:pt>
                <c:pt idx="23">
                  <c:v>21.278084580959657</c:v>
                </c:pt>
                <c:pt idx="24">
                  <c:v>21.809786783679705</c:v>
                </c:pt>
                <c:pt idx="25">
                  <c:v>22.341488986399753</c:v>
                </c:pt>
                <c:pt idx="26">
                  <c:v>22.873191189119801</c:v>
                </c:pt>
                <c:pt idx="27">
                  <c:v>23.404893391839853</c:v>
                </c:pt>
                <c:pt idx="28">
                  <c:v>23.936595594559904</c:v>
                </c:pt>
                <c:pt idx="29">
                  <c:v>24.468297797279952</c:v>
                </c:pt>
                <c:pt idx="30">
                  <c:v>25</c:v>
                </c:pt>
                <c:pt idx="31">
                  <c:v>25.531702202720052</c:v>
                </c:pt>
                <c:pt idx="32">
                  <c:v>26.0634044054401</c:v>
                </c:pt>
                <c:pt idx="33">
                  <c:v>26.595106608160147</c:v>
                </c:pt>
                <c:pt idx="34">
                  <c:v>27.126808810880199</c:v>
                </c:pt>
                <c:pt idx="35">
                  <c:v>27.658511013600247</c:v>
                </c:pt>
                <c:pt idx="36">
                  <c:v>28.190213216320299</c:v>
                </c:pt>
                <c:pt idx="37">
                  <c:v>28.721915419040347</c:v>
                </c:pt>
                <c:pt idx="38">
                  <c:v>29.253617621760394</c:v>
                </c:pt>
                <c:pt idx="39">
                  <c:v>29.785319824480446</c:v>
                </c:pt>
                <c:pt idx="40">
                  <c:v>30.317022027200494</c:v>
                </c:pt>
                <c:pt idx="41">
                  <c:v>30.848724229920546</c:v>
                </c:pt>
                <c:pt idx="42">
                  <c:v>31.380426432640594</c:v>
                </c:pt>
                <c:pt idx="43">
                  <c:v>31.912128635360641</c:v>
                </c:pt>
                <c:pt idx="44">
                  <c:v>32.443830838080693</c:v>
                </c:pt>
                <c:pt idx="45">
                  <c:v>32.975533040800741</c:v>
                </c:pt>
                <c:pt idx="46">
                  <c:v>33.507235243520796</c:v>
                </c:pt>
                <c:pt idx="47">
                  <c:v>34.038937446240837</c:v>
                </c:pt>
                <c:pt idx="48">
                  <c:v>34.570639648960892</c:v>
                </c:pt>
                <c:pt idx="49">
                  <c:v>35.10234185168094</c:v>
                </c:pt>
                <c:pt idx="50">
                  <c:v>35.634044054400988</c:v>
                </c:pt>
                <c:pt idx="51">
                  <c:v>36.165746257121043</c:v>
                </c:pt>
                <c:pt idx="52">
                  <c:v>36.697448459841084</c:v>
                </c:pt>
                <c:pt idx="53">
                  <c:v>37.229150662561139</c:v>
                </c:pt>
                <c:pt idx="54">
                  <c:v>37.760852865281187</c:v>
                </c:pt>
                <c:pt idx="55">
                  <c:v>38.292555068001235</c:v>
                </c:pt>
                <c:pt idx="56">
                  <c:v>38.82425727072129</c:v>
                </c:pt>
                <c:pt idx="57">
                  <c:v>39.355959473441331</c:v>
                </c:pt>
                <c:pt idx="58">
                  <c:v>39.887661676161386</c:v>
                </c:pt>
                <c:pt idx="59">
                  <c:v>40.419363878881434</c:v>
                </c:pt>
                <c:pt idx="60">
                  <c:v>40.951066081601482</c:v>
                </c:pt>
              </c:numCache>
            </c:numRef>
          </c:xVal>
          <c:yVal>
            <c:numRef>
              <c:f>Sheet2!$AE$2:$AE$62</c:f>
              <c:numCache>
                <c:formatCode>0.00</c:formatCode>
                <c:ptCount val="61"/>
                <c:pt idx="0">
                  <c:v>114.94305172284692</c:v>
                </c:pt>
                <c:pt idx="1">
                  <c:v>112.58469457116033</c:v>
                </c:pt>
                <c:pt idx="2">
                  <c:v>110.25838431945549</c:v>
                </c:pt>
                <c:pt idx="3">
                  <c:v>107.96619249805454</c:v>
                </c:pt>
                <c:pt idx="4">
                  <c:v>105.71033857221377</c:v>
                </c:pt>
                <c:pt idx="5">
                  <c:v>103.49319875388944</c:v>
                </c:pt>
                <c:pt idx="6">
                  <c:v>101.31731463233204</c:v>
                </c:pt>
                <c:pt idx="7">
                  <c:v>99.18540139071257</c:v>
                </c:pt>
                <c:pt idx="8">
                  <c:v>97.100355316041416</c:v>
                </c:pt>
                <c:pt idx="9">
                  <c:v>95.065260241063356</c:v>
                </c:pt>
                <c:pt idx="10">
                  <c:v>93.083392480267975</c:v>
                </c:pt>
                <c:pt idx="11">
                  <c:v>91.158223739304063</c:v>
                </c:pt>
                <c:pt idx="12">
                  <c:v>89.293421390992364</c:v>
                </c:pt>
                <c:pt idx="13">
                  <c:v>87.492845426632257</c:v>
                </c:pt>
                <c:pt idx="14">
                  <c:v>85.760541315471414</c:v>
                </c:pt>
                <c:pt idx="15">
                  <c:v>84.100727947691979</c:v>
                </c:pt>
                <c:pt idx="16">
                  <c:v>82.517779809418158</c:v>
                </c:pt>
                <c:pt idx="17">
                  <c:v>81.016202556985121</c:v>
                </c:pt>
                <c:pt idx="18">
                  <c:v>79.600601238735422</c:v>
                </c:pt>
                <c:pt idx="19">
                  <c:v>78.275640573021221</c:v>
                </c:pt>
                <c:pt idx="20">
                  <c:v>77.045996945982438</c:v>
                </c:pt>
                <c:pt idx="21">
                  <c:v>75.916302151901235</c:v>
                </c:pt>
                <c:pt idx="22">
                  <c:v>74.891079363113064</c:v>
                </c:pt>
                <c:pt idx="23">
                  <c:v>73.974672372781342</c:v>
                </c:pt>
                <c:pt idx="24">
                  <c:v>73.171169772550954</c:v>
                </c:pt>
                <c:pt idx="25">
                  <c:v>72.484326359851863</c:v>
                </c:pt>
                <c:pt idx="26">
                  <c:v>71.917484651053087</c:v>
                </c:pt>
                <c:pt idx="27">
                  <c:v>71.473499830092976</c:v>
                </c:pt>
                <c:pt idx="28">
                  <c:v>71.154671709769303</c:v>
                </c:pt>
                <c:pt idx="29">
                  <c:v>70.96268725902857</c:v>
                </c:pt>
                <c:pt idx="30">
                  <c:v>70.898576915585849</c:v>
                </c:pt>
                <c:pt idx="31">
                  <c:v>70.96268725902857</c:v>
                </c:pt>
                <c:pt idx="32">
                  <c:v>71.154671709769318</c:v>
                </c:pt>
                <c:pt idx="33">
                  <c:v>71.473499830092976</c:v>
                </c:pt>
                <c:pt idx="34">
                  <c:v>71.917484651053087</c:v>
                </c:pt>
                <c:pt idx="35">
                  <c:v>72.484326359851863</c:v>
                </c:pt>
                <c:pt idx="36">
                  <c:v>73.171169772550954</c:v>
                </c:pt>
                <c:pt idx="37">
                  <c:v>73.974672372781342</c:v>
                </c:pt>
                <c:pt idx="38">
                  <c:v>74.891079363113064</c:v>
                </c:pt>
                <c:pt idx="39">
                  <c:v>75.916302151901235</c:v>
                </c:pt>
                <c:pt idx="40">
                  <c:v>77.045996945982438</c:v>
                </c:pt>
                <c:pt idx="41">
                  <c:v>78.275640573021221</c:v>
                </c:pt>
                <c:pt idx="42">
                  <c:v>79.600601238735493</c:v>
                </c:pt>
                <c:pt idx="43">
                  <c:v>81.016202556985121</c:v>
                </c:pt>
                <c:pt idx="44">
                  <c:v>82.517779809418158</c:v>
                </c:pt>
                <c:pt idx="45">
                  <c:v>84.100727947691979</c:v>
                </c:pt>
                <c:pt idx="46">
                  <c:v>85.760541315471414</c:v>
                </c:pt>
                <c:pt idx="47">
                  <c:v>87.492845426632257</c:v>
                </c:pt>
                <c:pt idx="48">
                  <c:v>89.293421390992449</c:v>
                </c:pt>
                <c:pt idx="49">
                  <c:v>91.158223739304063</c:v>
                </c:pt>
                <c:pt idx="50">
                  <c:v>93.083392480267975</c:v>
                </c:pt>
                <c:pt idx="51">
                  <c:v>95.065260241063356</c:v>
                </c:pt>
                <c:pt idx="52">
                  <c:v>97.100355316041316</c:v>
                </c:pt>
                <c:pt idx="53">
                  <c:v>99.18540139071257</c:v>
                </c:pt>
                <c:pt idx="54">
                  <c:v>101.31731463233204</c:v>
                </c:pt>
                <c:pt idx="55">
                  <c:v>103.49319875388944</c:v>
                </c:pt>
                <c:pt idx="56">
                  <c:v>105.71033857221377</c:v>
                </c:pt>
                <c:pt idx="57">
                  <c:v>107.96619249805454</c:v>
                </c:pt>
                <c:pt idx="58">
                  <c:v>110.25838431945562</c:v>
                </c:pt>
                <c:pt idx="59">
                  <c:v>112.58469457116033</c:v>
                </c:pt>
                <c:pt idx="60">
                  <c:v>114.94305172284692</c:v>
                </c:pt>
              </c:numCache>
            </c:numRef>
          </c:yVal>
          <c:smooth val="1"/>
          <c:extLst>
            <c:ext xmlns:c16="http://schemas.microsoft.com/office/drawing/2014/chart" uri="{C3380CC4-5D6E-409C-BE32-E72D297353CC}">
              <c16:uniqueId val="{00000003-549B-4E91-BB43-4C2D0058C908}"/>
            </c:ext>
          </c:extLst>
        </c:ser>
        <c:ser>
          <c:idx val="3"/>
          <c:order val="3"/>
          <c:tx>
            <c:v>Minimum Beam Diameter</c:v>
          </c:tx>
          <c:spPr>
            <a:ln w="19050" cap="rnd">
              <a:solidFill>
                <a:schemeClr val="tx1">
                  <a:lumMod val="50000"/>
                  <a:lumOff val="50000"/>
                </a:schemeClr>
              </a:solidFill>
              <a:prstDash val="sysDash"/>
              <a:round/>
            </a:ln>
            <a:effectLst/>
          </c:spPr>
          <c:marker>
            <c:symbol val="none"/>
          </c:marker>
          <c:xVal>
            <c:numRef>
              <c:f>Sheet2!$AB$2:$AB$62</c:f>
              <c:numCache>
                <c:formatCode>0.000</c:formatCode>
                <c:ptCount val="61"/>
                <c:pt idx="0">
                  <c:v>9.048933918398518</c:v>
                </c:pt>
                <c:pt idx="1">
                  <c:v>9.5806361211185678</c:v>
                </c:pt>
                <c:pt idx="2">
                  <c:v>10.112338323838618</c:v>
                </c:pt>
                <c:pt idx="3">
                  <c:v>10.644040526558666</c:v>
                </c:pt>
                <c:pt idx="4">
                  <c:v>11.175742729278715</c:v>
                </c:pt>
                <c:pt idx="5">
                  <c:v>11.707444931998765</c:v>
                </c:pt>
                <c:pt idx="6">
                  <c:v>12.239147134718815</c:v>
                </c:pt>
                <c:pt idx="7">
                  <c:v>12.770849337438865</c:v>
                </c:pt>
                <c:pt idx="8">
                  <c:v>13.302551540158913</c:v>
                </c:pt>
                <c:pt idx="9">
                  <c:v>13.834253742878964</c:v>
                </c:pt>
                <c:pt idx="10">
                  <c:v>14.365955945599012</c:v>
                </c:pt>
                <c:pt idx="11">
                  <c:v>14.897658148319062</c:v>
                </c:pt>
                <c:pt idx="12">
                  <c:v>15.429360351039112</c:v>
                </c:pt>
                <c:pt idx="13">
                  <c:v>15.961062553759159</c:v>
                </c:pt>
                <c:pt idx="14">
                  <c:v>16.492764756479211</c:v>
                </c:pt>
                <c:pt idx="15">
                  <c:v>17.024466959199259</c:v>
                </c:pt>
                <c:pt idx="16">
                  <c:v>17.556169161919307</c:v>
                </c:pt>
                <c:pt idx="17">
                  <c:v>18.087871364639359</c:v>
                </c:pt>
                <c:pt idx="18">
                  <c:v>18.61957356735941</c:v>
                </c:pt>
                <c:pt idx="19">
                  <c:v>19.151275770079458</c:v>
                </c:pt>
                <c:pt idx="20">
                  <c:v>19.682977972799506</c:v>
                </c:pt>
                <c:pt idx="21">
                  <c:v>20.214680175519554</c:v>
                </c:pt>
                <c:pt idx="22">
                  <c:v>20.746382378239606</c:v>
                </c:pt>
                <c:pt idx="23">
                  <c:v>21.278084580959657</c:v>
                </c:pt>
                <c:pt idx="24">
                  <c:v>21.809786783679705</c:v>
                </c:pt>
                <c:pt idx="25">
                  <c:v>22.341488986399753</c:v>
                </c:pt>
                <c:pt idx="26">
                  <c:v>22.873191189119801</c:v>
                </c:pt>
                <c:pt idx="27">
                  <c:v>23.404893391839853</c:v>
                </c:pt>
                <c:pt idx="28">
                  <c:v>23.936595594559904</c:v>
                </c:pt>
                <c:pt idx="29">
                  <c:v>24.468297797279952</c:v>
                </c:pt>
                <c:pt idx="30">
                  <c:v>25</c:v>
                </c:pt>
                <c:pt idx="31">
                  <c:v>25.531702202720052</c:v>
                </c:pt>
                <c:pt idx="32">
                  <c:v>26.0634044054401</c:v>
                </c:pt>
                <c:pt idx="33">
                  <c:v>26.595106608160147</c:v>
                </c:pt>
                <c:pt idx="34">
                  <c:v>27.126808810880199</c:v>
                </c:pt>
                <c:pt idx="35">
                  <c:v>27.658511013600247</c:v>
                </c:pt>
                <c:pt idx="36">
                  <c:v>28.190213216320299</c:v>
                </c:pt>
                <c:pt idx="37">
                  <c:v>28.721915419040347</c:v>
                </c:pt>
                <c:pt idx="38">
                  <c:v>29.253617621760394</c:v>
                </c:pt>
                <c:pt idx="39">
                  <c:v>29.785319824480446</c:v>
                </c:pt>
                <c:pt idx="40">
                  <c:v>30.317022027200494</c:v>
                </c:pt>
                <c:pt idx="41">
                  <c:v>30.848724229920546</c:v>
                </c:pt>
                <c:pt idx="42">
                  <c:v>31.380426432640594</c:v>
                </c:pt>
                <c:pt idx="43">
                  <c:v>31.912128635360641</c:v>
                </c:pt>
                <c:pt idx="44">
                  <c:v>32.443830838080693</c:v>
                </c:pt>
                <c:pt idx="45">
                  <c:v>32.975533040800741</c:v>
                </c:pt>
                <c:pt idx="46">
                  <c:v>33.507235243520796</c:v>
                </c:pt>
                <c:pt idx="47">
                  <c:v>34.038937446240837</c:v>
                </c:pt>
                <c:pt idx="48">
                  <c:v>34.570639648960892</c:v>
                </c:pt>
                <c:pt idx="49">
                  <c:v>35.10234185168094</c:v>
                </c:pt>
                <c:pt idx="50">
                  <c:v>35.634044054400988</c:v>
                </c:pt>
                <c:pt idx="51">
                  <c:v>36.165746257121043</c:v>
                </c:pt>
                <c:pt idx="52">
                  <c:v>36.697448459841084</c:v>
                </c:pt>
                <c:pt idx="53">
                  <c:v>37.229150662561139</c:v>
                </c:pt>
                <c:pt idx="54">
                  <c:v>37.760852865281187</c:v>
                </c:pt>
                <c:pt idx="55">
                  <c:v>38.292555068001235</c:v>
                </c:pt>
                <c:pt idx="56">
                  <c:v>38.82425727072129</c:v>
                </c:pt>
                <c:pt idx="57">
                  <c:v>39.355959473441331</c:v>
                </c:pt>
                <c:pt idx="58">
                  <c:v>39.887661676161386</c:v>
                </c:pt>
                <c:pt idx="59">
                  <c:v>40.419363878881434</c:v>
                </c:pt>
                <c:pt idx="60">
                  <c:v>40.951066081601482</c:v>
                </c:pt>
              </c:numCache>
            </c:numRef>
          </c:xVal>
          <c:yVal>
            <c:numRef>
              <c:f>Sheet2!$Z$2:$Z$62</c:f>
              <c:numCache>
                <c:formatCode>General</c:formatCode>
                <c:ptCount val="61"/>
                <c:pt idx="0">
                  <c:v>55</c:v>
                </c:pt>
                <c:pt idx="1">
                  <c:v>55</c:v>
                </c:pt>
                <c:pt idx="2">
                  <c:v>55</c:v>
                </c:pt>
                <c:pt idx="3">
                  <c:v>55</c:v>
                </c:pt>
                <c:pt idx="4">
                  <c:v>55</c:v>
                </c:pt>
                <c:pt idx="5">
                  <c:v>55</c:v>
                </c:pt>
                <c:pt idx="6">
                  <c:v>55</c:v>
                </c:pt>
                <c:pt idx="7">
                  <c:v>55</c:v>
                </c:pt>
                <c:pt idx="8">
                  <c:v>55</c:v>
                </c:pt>
                <c:pt idx="9">
                  <c:v>55</c:v>
                </c:pt>
                <c:pt idx="10">
                  <c:v>55</c:v>
                </c:pt>
                <c:pt idx="11">
                  <c:v>55</c:v>
                </c:pt>
                <c:pt idx="12">
                  <c:v>55</c:v>
                </c:pt>
                <c:pt idx="13">
                  <c:v>55</c:v>
                </c:pt>
                <c:pt idx="14">
                  <c:v>55</c:v>
                </c:pt>
                <c:pt idx="15">
                  <c:v>55</c:v>
                </c:pt>
                <c:pt idx="16">
                  <c:v>55</c:v>
                </c:pt>
                <c:pt idx="17">
                  <c:v>55</c:v>
                </c:pt>
                <c:pt idx="18">
                  <c:v>55</c:v>
                </c:pt>
                <c:pt idx="19">
                  <c:v>55</c:v>
                </c:pt>
                <c:pt idx="20">
                  <c:v>55</c:v>
                </c:pt>
                <c:pt idx="21">
                  <c:v>55</c:v>
                </c:pt>
                <c:pt idx="22">
                  <c:v>55</c:v>
                </c:pt>
                <c:pt idx="23">
                  <c:v>55</c:v>
                </c:pt>
                <c:pt idx="24">
                  <c:v>55</c:v>
                </c:pt>
                <c:pt idx="25">
                  <c:v>55</c:v>
                </c:pt>
                <c:pt idx="26">
                  <c:v>55</c:v>
                </c:pt>
                <c:pt idx="27">
                  <c:v>55</c:v>
                </c:pt>
                <c:pt idx="28">
                  <c:v>55</c:v>
                </c:pt>
                <c:pt idx="29">
                  <c:v>55</c:v>
                </c:pt>
                <c:pt idx="30">
                  <c:v>55</c:v>
                </c:pt>
                <c:pt idx="31">
                  <c:v>55</c:v>
                </c:pt>
                <c:pt idx="32">
                  <c:v>55</c:v>
                </c:pt>
                <c:pt idx="33">
                  <c:v>55</c:v>
                </c:pt>
                <c:pt idx="34">
                  <c:v>55</c:v>
                </c:pt>
                <c:pt idx="35">
                  <c:v>55</c:v>
                </c:pt>
                <c:pt idx="36">
                  <c:v>55</c:v>
                </c:pt>
                <c:pt idx="37">
                  <c:v>55</c:v>
                </c:pt>
                <c:pt idx="38">
                  <c:v>55</c:v>
                </c:pt>
                <c:pt idx="39">
                  <c:v>55</c:v>
                </c:pt>
                <c:pt idx="40">
                  <c:v>55</c:v>
                </c:pt>
                <c:pt idx="41">
                  <c:v>55</c:v>
                </c:pt>
                <c:pt idx="42">
                  <c:v>55</c:v>
                </c:pt>
                <c:pt idx="43">
                  <c:v>55</c:v>
                </c:pt>
                <c:pt idx="44">
                  <c:v>55</c:v>
                </c:pt>
                <c:pt idx="45">
                  <c:v>55</c:v>
                </c:pt>
                <c:pt idx="46">
                  <c:v>55</c:v>
                </c:pt>
                <c:pt idx="47">
                  <c:v>55</c:v>
                </c:pt>
                <c:pt idx="48">
                  <c:v>55</c:v>
                </c:pt>
                <c:pt idx="49">
                  <c:v>55</c:v>
                </c:pt>
                <c:pt idx="50">
                  <c:v>55</c:v>
                </c:pt>
                <c:pt idx="51">
                  <c:v>55</c:v>
                </c:pt>
                <c:pt idx="52">
                  <c:v>55</c:v>
                </c:pt>
                <c:pt idx="53">
                  <c:v>55</c:v>
                </c:pt>
                <c:pt idx="54">
                  <c:v>55</c:v>
                </c:pt>
                <c:pt idx="55">
                  <c:v>55</c:v>
                </c:pt>
                <c:pt idx="56">
                  <c:v>55</c:v>
                </c:pt>
                <c:pt idx="57">
                  <c:v>55</c:v>
                </c:pt>
                <c:pt idx="58">
                  <c:v>55</c:v>
                </c:pt>
                <c:pt idx="59">
                  <c:v>55</c:v>
                </c:pt>
                <c:pt idx="60">
                  <c:v>55</c:v>
                </c:pt>
              </c:numCache>
            </c:numRef>
          </c:yVal>
          <c:smooth val="1"/>
          <c:extLst>
            <c:ext xmlns:c16="http://schemas.microsoft.com/office/drawing/2014/chart" uri="{C3380CC4-5D6E-409C-BE32-E72D297353CC}">
              <c16:uniqueId val="{00000004-549B-4E91-BB43-4C2D0058C908}"/>
            </c:ext>
          </c:extLst>
        </c:ser>
        <c:dLbls>
          <c:showLegendKey val="0"/>
          <c:showVal val="0"/>
          <c:showCatName val="0"/>
          <c:showSerName val="0"/>
          <c:showPercent val="0"/>
          <c:showBubbleSize val="0"/>
        </c:dLbls>
        <c:axId val="438047520"/>
        <c:axId val="438047848"/>
      </c:scatterChart>
      <c:valAx>
        <c:axId val="4380475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b="0" i="0" u="none" strike="noStrike" baseline="0">
                    <a:effectLst/>
                  </a:rPr>
                  <a:t>Position Relative To Stage Zero </a:t>
                </a:r>
                <a:r>
                  <a:rPr lang="en-US" sz="1400"/>
                  <a:t>(mm)</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0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438047848"/>
        <c:crosses val="autoZero"/>
        <c:crossBetween val="midCat"/>
      </c:valAx>
      <c:valAx>
        <c:axId val="4380478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Beam Diameter (um)</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438047520"/>
        <c:crosses val="autoZero"/>
        <c:crossBetween val="midCat"/>
      </c:valAx>
      <c:spPr>
        <a:solidFill>
          <a:schemeClr val="accent1">
            <a:lumMod val="20000"/>
            <a:lumOff val="80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302670</xdr:colOff>
      <xdr:row>15</xdr:row>
      <xdr:rowOff>152400</xdr:rowOff>
    </xdr:from>
    <xdr:to>
      <xdr:col>1</xdr:col>
      <xdr:colOff>2092326</xdr:colOff>
      <xdr:row>18</xdr:row>
      <xdr:rowOff>156527</xdr:rowOff>
    </xdr:to>
    <xdr:pic>
      <xdr:nvPicPr>
        <xdr:cNvPr id="7" name="chart">
          <a:extLst>
            <a:ext uri="{FF2B5EF4-FFF2-40B4-BE49-F238E27FC236}">
              <a16:creationId xmlns:a16="http://schemas.microsoft.com/office/drawing/2014/main" id="{8DFD6B36-410C-430D-9455-075DA778821B}"/>
            </a:ext>
          </a:extLst>
        </xdr:cNvPr>
        <xdr:cNvPicPr>
          <a:picLocks noChangeAspect="1"/>
        </xdr:cNvPicPr>
      </xdr:nvPicPr>
      <xdr:blipFill>
        <a:blip xmlns:r="http://schemas.openxmlformats.org/officeDocument/2006/relationships" r:embed="rId1"/>
        <a:stretch>
          <a:fillRect/>
        </a:stretch>
      </xdr:blipFill>
      <xdr:spPr>
        <a:xfrm>
          <a:off x="944020" y="2971800"/>
          <a:ext cx="1786480" cy="553401"/>
        </a:xfrm>
        <a:prstGeom prst="rect">
          <a:avLst/>
        </a:prstGeom>
      </xdr:spPr>
    </xdr:pic>
    <xdr:clientData/>
  </xdr:twoCellAnchor>
  <xdr:twoCellAnchor>
    <xdr:from>
      <xdr:col>8</xdr:col>
      <xdr:colOff>342900</xdr:colOff>
      <xdr:row>0</xdr:row>
      <xdr:rowOff>146050</xdr:rowOff>
    </xdr:from>
    <xdr:to>
      <xdr:col>16</xdr:col>
      <xdr:colOff>6350</xdr:colOff>
      <xdr:row>19</xdr:row>
      <xdr:rowOff>0</xdr:rowOff>
    </xdr:to>
    <xdr:graphicFrame macro="">
      <xdr:nvGraphicFramePr>
        <xdr:cNvPr id="34" name="Chart 33">
          <a:extLst>
            <a:ext uri="{FF2B5EF4-FFF2-40B4-BE49-F238E27FC236}">
              <a16:creationId xmlns:a16="http://schemas.microsoft.com/office/drawing/2014/main" id="{48D9BFEC-8A78-4974-8504-F4630568A6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25</xdr:row>
      <xdr:rowOff>12700</xdr:rowOff>
    </xdr:from>
    <xdr:to>
      <xdr:col>5</xdr:col>
      <xdr:colOff>2882900</xdr:colOff>
      <xdr:row>52</xdr:row>
      <xdr:rowOff>69850</xdr:rowOff>
    </xdr:to>
    <xdr:graphicFrame macro="">
      <xdr:nvGraphicFramePr>
        <xdr:cNvPr id="35" name="Chart 34">
          <a:extLst>
            <a:ext uri="{FF2B5EF4-FFF2-40B4-BE49-F238E27FC236}">
              <a16:creationId xmlns:a16="http://schemas.microsoft.com/office/drawing/2014/main" id="{6D0E6070-2FE7-42FB-8D58-ACD3B5BCE9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438150</xdr:colOff>
      <xdr:row>25</xdr:row>
      <xdr:rowOff>12700</xdr:rowOff>
    </xdr:from>
    <xdr:to>
      <xdr:col>16</xdr:col>
      <xdr:colOff>0</xdr:colOff>
      <xdr:row>52</xdr:row>
      <xdr:rowOff>69850</xdr:rowOff>
    </xdr:to>
    <xdr:graphicFrame macro="">
      <xdr:nvGraphicFramePr>
        <xdr:cNvPr id="36" name="Chart 35">
          <a:extLst>
            <a:ext uri="{FF2B5EF4-FFF2-40B4-BE49-F238E27FC236}">
              <a16:creationId xmlns:a16="http://schemas.microsoft.com/office/drawing/2014/main" id="{BEC8F46F-A5C9-42DF-A125-7F3FC1E7DD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21</xdr:col>
      <xdr:colOff>0</xdr:colOff>
      <xdr:row>79</xdr:row>
      <xdr:rowOff>133350</xdr:rowOff>
    </xdr:from>
    <xdr:to>
      <xdr:col>27</xdr:col>
      <xdr:colOff>120650</xdr:colOff>
      <xdr:row>95</xdr:row>
      <xdr:rowOff>0</xdr:rowOff>
    </xdr:to>
    <xdr:sp macro="" textlink="">
      <xdr:nvSpPr>
        <xdr:cNvPr id="2" name="TextBox 1">
          <a:extLst>
            <a:ext uri="{FF2B5EF4-FFF2-40B4-BE49-F238E27FC236}">
              <a16:creationId xmlns:a16="http://schemas.microsoft.com/office/drawing/2014/main" id="{6D31BEF3-F420-4A7A-8678-45A0AC899E5D}"/>
            </a:ext>
          </a:extLst>
        </xdr:cNvPr>
        <xdr:cNvSpPr txBox="1"/>
      </xdr:nvSpPr>
      <xdr:spPr>
        <a:xfrm>
          <a:off x="18294350" y="14128750"/>
          <a:ext cx="3340100" cy="2813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Changelog:</a:t>
          </a:r>
        </a:p>
        <a:p>
          <a:r>
            <a:rPr lang="en-US" sz="1100"/>
            <a:t>2019.10.29 - Added optoin for IGA-2300 and 2500</a:t>
          </a:r>
        </a:p>
        <a:p>
          <a:r>
            <a:rPr lang="en-US" sz="1100"/>
            <a:t>2019.08/12 - Added option to change mrad</a:t>
          </a:r>
          <a:r>
            <a:rPr lang="en-US" sz="1100" baseline="0"/>
            <a:t> to deg/NA</a:t>
          </a:r>
          <a:endParaRPr lang="en-US" sz="1100"/>
        </a:p>
        <a:p>
          <a:r>
            <a:rPr lang="en-US" sz="1100"/>
            <a:t>2019.08.07</a:t>
          </a:r>
          <a:r>
            <a:rPr lang="en-US" sz="1100" baseline="0"/>
            <a:t> - Modified autopopulate grid to look nicer (no longer unnecessarily includes multiple Custom options). Updated FIR-G range.</a:t>
          </a:r>
          <a:endParaRPr lang="en-US" sz="1100"/>
        </a:p>
        <a:p>
          <a:r>
            <a:rPr lang="en-US" sz="1100"/>
            <a:t>2019.08.01</a:t>
          </a:r>
          <a:r>
            <a:rPr lang="en-US" sz="1100" baseline="0"/>
            <a:t> - Modified focal length options or each coating to match DataRay's available options. Autopopulate focal length dropdown list.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72353-57D4-42D6-B43A-18D621691691}">
  <sheetPr codeName="Sheet1"/>
  <dimension ref="B1:W98"/>
  <sheetViews>
    <sheetView tabSelected="1" zoomScaleNormal="100" workbookViewId="0">
      <selection activeCell="E12" sqref="E12"/>
    </sheetView>
  </sheetViews>
  <sheetFormatPr defaultColWidth="9.1796875" defaultRowHeight="14.5" x14ac:dyDescent="0.35"/>
  <cols>
    <col min="1" max="1" width="9.1796875" style="1"/>
    <col min="2" max="2" width="33.7265625" style="1" bestFit="1" customWidth="1"/>
    <col min="3" max="3" width="30.36328125" style="1" customWidth="1"/>
    <col min="4" max="4" width="5.26953125" style="1" customWidth="1"/>
    <col min="5" max="5" width="7.1796875" style="1" customWidth="1"/>
    <col min="6" max="6" width="45.36328125" style="1" bestFit="1" customWidth="1"/>
    <col min="7" max="7" width="11.90625" style="1" customWidth="1"/>
    <col min="8" max="8" width="7.453125" style="1" bestFit="1" customWidth="1"/>
    <col min="9" max="9" width="37.453125" style="1" customWidth="1"/>
    <col min="10" max="14" width="9.1796875" style="1"/>
    <col min="15" max="15" width="12.1796875" style="1" bestFit="1" customWidth="1"/>
    <col min="16" max="16" width="9.1796875" style="1"/>
    <col min="17" max="17" width="16.26953125" style="1" bestFit="1" customWidth="1"/>
    <col min="18" max="18" width="9.1796875" style="1"/>
    <col min="19" max="19" width="14.81640625" style="1" bestFit="1" customWidth="1"/>
    <col min="20" max="21" width="9.1796875" style="1"/>
    <col min="23" max="16384" width="9.1796875" style="1"/>
  </cols>
  <sheetData>
    <row r="1" spans="2:23" ht="18.5" x14ac:dyDescent="0.45">
      <c r="B1" s="88" t="s">
        <v>10</v>
      </c>
      <c r="C1" s="88"/>
      <c r="D1" s="88"/>
      <c r="F1" s="66" t="s">
        <v>5</v>
      </c>
      <c r="G1" s="66"/>
      <c r="H1" s="66"/>
      <c r="L1" s="4"/>
      <c r="M1" s="4"/>
      <c r="N1" s="4"/>
      <c r="O1" s="4"/>
      <c r="P1" s="4"/>
      <c r="Q1" s="38"/>
      <c r="R1" s="38" t="s">
        <v>94</v>
      </c>
      <c r="S1" s="38" t="str">
        <f ca="1">Sheet2!B39</f>
        <v/>
      </c>
      <c r="T1" s="38"/>
      <c r="U1" s="38"/>
      <c r="V1" s="63"/>
      <c r="W1" s="63"/>
    </row>
    <row r="2" spans="2:23" x14ac:dyDescent="0.35">
      <c r="B2" s="87" t="s">
        <v>4</v>
      </c>
      <c r="C2" s="87"/>
      <c r="D2" s="87"/>
      <c r="F2" s="67"/>
      <c r="G2" s="67"/>
      <c r="H2" s="67"/>
      <c r="L2" s="4"/>
      <c r="M2" s="4"/>
      <c r="N2" s="4"/>
      <c r="O2" s="4"/>
      <c r="P2" s="4"/>
      <c r="Q2" s="38"/>
      <c r="R2" s="38" t="s">
        <v>95</v>
      </c>
      <c r="S2" s="38" t="str">
        <f ca="1">Sheet2!B38</f>
        <v xml:space="preserve">This is an acceptable configuration. </v>
      </c>
      <c r="T2" s="38"/>
      <c r="U2" s="38"/>
      <c r="V2" s="63"/>
      <c r="W2" s="63"/>
    </row>
    <row r="3" spans="2:23" x14ac:dyDescent="0.35">
      <c r="B3" s="19" t="s">
        <v>6</v>
      </c>
      <c r="C3" s="5">
        <v>675</v>
      </c>
      <c r="D3" s="11" t="s">
        <v>0</v>
      </c>
      <c r="F3" s="21" t="s">
        <v>52</v>
      </c>
      <c r="G3" s="61">
        <f>IF(H3=Sheet2!B22,'M2DU Measurement'!I3,IF(H3=Sheet2!B23,DEGREES('M2DU Measurement'!I3/1000),IF(H3=Sheet2!B24,SIN(I3/2/1000))))</f>
        <v>0.4726901809829292</v>
      </c>
      <c r="H3" s="62" t="s">
        <v>1</v>
      </c>
      <c r="I3" s="60">
        <f>C4*4*(C3*10^-9)/(PI()*C5*10^-3)*1000</f>
        <v>0.4726901809829292</v>
      </c>
      <c r="L3" s="4"/>
      <c r="M3" s="4"/>
      <c r="N3" s="4"/>
      <c r="O3" s="4"/>
      <c r="P3" s="4"/>
      <c r="Q3" s="38"/>
      <c r="R3" s="38" t="s">
        <v>96</v>
      </c>
      <c r="S3" s="64">
        <f>Sheet2!D19</f>
        <v>3</v>
      </c>
      <c r="T3" s="38"/>
      <c r="U3" s="38"/>
      <c r="V3" s="63"/>
      <c r="W3" s="63"/>
    </row>
    <row r="4" spans="2:23" x14ac:dyDescent="0.35">
      <c r="B4" s="19" t="s">
        <v>9</v>
      </c>
      <c r="C4" s="5">
        <v>1.1000000000000001</v>
      </c>
      <c r="D4" s="11"/>
      <c r="F4" s="21" t="s">
        <v>53</v>
      </c>
      <c r="G4" s="15">
        <f>C5/I3*1000</f>
        <v>4231.1012169559499</v>
      </c>
      <c r="H4" s="3" t="s">
        <v>3</v>
      </c>
      <c r="L4" s="4"/>
      <c r="M4" s="4"/>
      <c r="N4" s="4"/>
      <c r="O4" s="4"/>
      <c r="P4" s="4"/>
      <c r="Q4" s="38"/>
      <c r="R4" s="38" t="s">
        <v>97</v>
      </c>
      <c r="S4" s="38">
        <f>Sheet2!E19</f>
        <v>3</v>
      </c>
      <c r="T4" s="38"/>
      <c r="U4" s="38"/>
      <c r="V4" s="63"/>
      <c r="W4" s="63"/>
    </row>
    <row r="5" spans="2:23" x14ac:dyDescent="0.35">
      <c r="B5" s="19" t="s">
        <v>2</v>
      </c>
      <c r="C5" s="5">
        <v>2</v>
      </c>
      <c r="D5" s="11" t="s">
        <v>3</v>
      </c>
      <c r="F5" s="3"/>
      <c r="G5" s="3"/>
      <c r="H5" s="3"/>
      <c r="L5" s="4"/>
      <c r="M5" s="4"/>
      <c r="N5" s="4"/>
      <c r="O5" s="4"/>
      <c r="P5" s="4"/>
      <c r="Q5" s="38"/>
      <c r="R5" s="38" t="s">
        <v>98</v>
      </c>
      <c r="S5" s="64">
        <f>Sheet2!D18</f>
        <v>-3</v>
      </c>
      <c r="T5" s="38"/>
      <c r="U5" s="38"/>
      <c r="V5" s="63"/>
      <c r="W5" s="63"/>
    </row>
    <row r="6" spans="2:23" x14ac:dyDescent="0.35">
      <c r="F6" s="21" t="s">
        <v>54</v>
      </c>
      <c r="G6" s="22">
        <f>IF(C10="Yes",1/SQRT((1-(C12/E11))^2+(G4/E11)^2),"N/A")</f>
        <v>3.5449288457792924E-2</v>
      </c>
      <c r="H6" s="3"/>
      <c r="L6" s="4"/>
      <c r="M6" s="4"/>
      <c r="N6" s="4"/>
      <c r="O6" s="4"/>
      <c r="P6" s="4"/>
      <c r="Q6" s="38"/>
      <c r="R6" s="38" t="s">
        <v>99</v>
      </c>
      <c r="S6" s="64">
        <f>Sheet2!E18</f>
        <v>-1</v>
      </c>
      <c r="T6" s="38"/>
      <c r="U6" s="38"/>
      <c r="V6" s="63"/>
      <c r="W6" s="63"/>
    </row>
    <row r="7" spans="2:23" x14ac:dyDescent="0.35">
      <c r="B7" s="12" t="s">
        <v>11</v>
      </c>
      <c r="C7" s="20" t="s">
        <v>12</v>
      </c>
      <c r="D7" s="11"/>
      <c r="F7" s="42" t="s">
        <v>56</v>
      </c>
      <c r="G7" s="43">
        <f>IF(C10="Yes",C5*G6*1000,C5*1000)</f>
        <v>70.898576915585849</v>
      </c>
      <c r="H7" s="44" t="s">
        <v>21</v>
      </c>
      <c r="Q7" s="38"/>
      <c r="R7" s="38" t="s">
        <v>100</v>
      </c>
      <c r="S7" s="38" t="str">
        <f>Sheet2!B55</f>
        <v>WinCamD-LCM</v>
      </c>
      <c r="T7" s="38"/>
      <c r="U7" s="38"/>
      <c r="V7" s="63"/>
      <c r="W7" s="63"/>
    </row>
    <row r="8" spans="2:23" x14ac:dyDescent="0.35">
      <c r="B8" s="12" t="s">
        <v>28</v>
      </c>
      <c r="C8" s="20">
        <v>50</v>
      </c>
      <c r="D8" s="13" t="s">
        <v>3</v>
      </c>
      <c r="F8" s="21" t="s">
        <v>55</v>
      </c>
      <c r="G8" s="30">
        <f>IF(H8=Sheet2!B22,'M2DU Measurement'!I8,IF(H8=Sheet2!B23,DEGREES('M2DU Measurement'!I8/1000),IF(H8=Sheet2!B24,SIN(I8/2/1000))))</f>
        <v>13.334264284196552</v>
      </c>
      <c r="H8" s="62" t="s">
        <v>1</v>
      </c>
      <c r="I8" s="60">
        <f>C4*4*(C3*10^-9)/(PI()*G7*10^-6)*1000</f>
        <v>13.334264284196552</v>
      </c>
      <c r="Q8" s="38"/>
      <c r="R8" s="38" t="s">
        <v>101</v>
      </c>
      <c r="S8" s="38" t="str">
        <f>Sheet2!B56</f>
        <v>WinCamD-UCD12</v>
      </c>
      <c r="T8" s="38"/>
      <c r="U8" s="38"/>
      <c r="V8" s="63"/>
      <c r="W8" s="63"/>
    </row>
    <row r="9" spans="2:23" x14ac:dyDescent="0.35">
      <c r="E9" s="3"/>
      <c r="F9" s="21" t="s">
        <v>57</v>
      </c>
      <c r="G9" s="15">
        <f>IF(C10="Yes",(1+((C12/E11)-1)/(((C12/E11)-1)^2+(G4/E11)^2))*E11,C14)</f>
        <v>149.93716739739179</v>
      </c>
      <c r="H9" s="3" t="s">
        <v>3</v>
      </c>
      <c r="Q9" s="38"/>
      <c r="R9" s="38" t="s">
        <v>102</v>
      </c>
      <c r="S9" s="38" t="str">
        <f>Sheet2!B57</f>
        <v>WinCamD-UCD15</v>
      </c>
      <c r="T9" s="38"/>
      <c r="U9" s="38"/>
      <c r="V9" s="63"/>
      <c r="W9" s="63"/>
    </row>
    <row r="10" spans="2:23" x14ac:dyDescent="0.35">
      <c r="B10" s="14" t="str">
        <f>IF(Sheet2!C11=TRUE,"Lens Accessory (Optional)","Lens Accessory (Required)")</f>
        <v>Lens Accessory (Required)</v>
      </c>
      <c r="C10" s="39" t="s">
        <v>34</v>
      </c>
      <c r="F10" s="21" t="s">
        <v>58</v>
      </c>
      <c r="G10" s="31">
        <f>G7/I8</f>
        <v>5.3170220272004904</v>
      </c>
      <c r="H10" s="17" t="s">
        <v>3</v>
      </c>
      <c r="Q10" s="38"/>
      <c r="R10" s="38" t="s">
        <v>103</v>
      </c>
      <c r="S10" s="38" t="str">
        <f>Sheet2!B58</f>
        <v>WinCamD-UCD23</v>
      </c>
      <c r="T10" s="38"/>
      <c r="U10" s="38"/>
      <c r="V10" s="63"/>
      <c r="W10" s="63"/>
    </row>
    <row r="11" spans="2:23" x14ac:dyDescent="0.35">
      <c r="B11" s="19" t="s">
        <v>7</v>
      </c>
      <c r="C11" s="5">
        <v>150</v>
      </c>
      <c r="D11" s="11" t="s">
        <v>3</v>
      </c>
      <c r="E11" s="45">
        <f>IF(C11=Sheet2!C82,'M2DU Measurement'!C13,IF(C11=Sheet2!C83,C13,'M2DU Measurement'!C11))</f>
        <v>150</v>
      </c>
      <c r="F11" s="14" t="s">
        <v>32</v>
      </c>
      <c r="G11" s="23">
        <f>G9-G23</f>
        <v>25</v>
      </c>
      <c r="H11" s="16" t="s">
        <v>3</v>
      </c>
      <c r="Q11" s="38"/>
      <c r="R11" s="38" t="s">
        <v>104</v>
      </c>
      <c r="S11" s="38" t="str">
        <f>Sheet2!B59</f>
        <v>BladeCam/WinCamD-UHR</v>
      </c>
      <c r="T11" s="38"/>
      <c r="U11" s="38"/>
      <c r="V11" s="63"/>
      <c r="W11" s="63"/>
    </row>
    <row r="12" spans="2:23" x14ac:dyDescent="0.35">
      <c r="B12" s="19" t="s">
        <v>8</v>
      </c>
      <c r="C12" s="5">
        <v>100</v>
      </c>
      <c r="D12" s="11" t="s">
        <v>3</v>
      </c>
      <c r="F12" s="14" t="s">
        <v>51</v>
      </c>
      <c r="G12" s="41">
        <f>IF(C10="Yes",CEILING(Sheet2!N2/1000*1.517,25),"N/A")</f>
        <v>25</v>
      </c>
      <c r="H12" s="16" t="s">
        <v>3</v>
      </c>
      <c r="Q12" s="38"/>
      <c r="R12" s="38" t="s">
        <v>105</v>
      </c>
      <c r="S12" s="38" t="str">
        <f>Sheet2!B60</f>
        <v>BladeCam/WinCamD-XHR</v>
      </c>
      <c r="T12" s="38"/>
      <c r="U12" s="38"/>
      <c r="V12" s="63"/>
      <c r="W12" s="63"/>
    </row>
    <row r="13" spans="2:23" x14ac:dyDescent="0.35">
      <c r="B13" s="50" t="s">
        <v>78</v>
      </c>
      <c r="C13" s="51">
        <v>125</v>
      </c>
      <c r="D13" s="52" t="s">
        <v>3</v>
      </c>
      <c r="F13" s="21" t="str">
        <f>'M2DU Measurement'!C7&amp;" Minimum Beam Diameter"</f>
        <v>WinCamD-LCM Minimum Beam Diameter</v>
      </c>
      <c r="G13" s="24">
        <f>Sheet2!D67</f>
        <v>55</v>
      </c>
      <c r="H13" s="17" t="s">
        <v>21</v>
      </c>
      <c r="Q13" s="38"/>
      <c r="R13" s="38" t="s">
        <v>106</v>
      </c>
      <c r="S13" s="38" t="str">
        <f>Sheet2!B61</f>
        <v>WinCamD-IR-BB</v>
      </c>
      <c r="T13" s="38"/>
      <c r="U13" s="38"/>
      <c r="V13" s="63"/>
      <c r="W13" s="63"/>
    </row>
    <row r="14" spans="2:23" ht="15" thickBot="1" x14ac:dyDescent="0.4">
      <c r="B14" s="14" t="s">
        <v>33</v>
      </c>
      <c r="C14" s="40">
        <v>100</v>
      </c>
      <c r="D14" s="17" t="s">
        <v>3</v>
      </c>
      <c r="Q14" s="38"/>
      <c r="R14" s="38" t="s">
        <v>107</v>
      </c>
      <c r="S14" s="38" t="str">
        <f>Sheet2!B62</f>
        <v>Beam'R2-Si</v>
      </c>
      <c r="T14" s="38"/>
      <c r="U14" s="38"/>
      <c r="V14" s="63"/>
      <c r="W14" s="63"/>
    </row>
    <row r="15" spans="2:23" x14ac:dyDescent="0.35">
      <c r="F15" s="32" t="str">
        <f>"Estimated Scan Start Position ("&amp;ROUND(Sheet2!D18,2)&amp;" zR)"</f>
        <v>Estimated Scan Start Position (-3 zR)</v>
      </c>
      <c r="G15" s="33">
        <f>Sheet2!AB2</f>
        <v>9.048933918398518</v>
      </c>
      <c r="H15" s="34" t="s">
        <v>3</v>
      </c>
      <c r="Q15" s="38"/>
      <c r="R15" s="38" t="s">
        <v>108</v>
      </c>
      <c r="S15" s="38" t="str">
        <f>Sheet2!B63</f>
        <v>Beam'R2-IGA</v>
      </c>
      <c r="T15" s="38"/>
      <c r="U15" s="38"/>
      <c r="V15" s="63"/>
      <c r="W15" s="63"/>
    </row>
    <row r="16" spans="2:23" ht="14.5" customHeight="1" thickBot="1" x14ac:dyDescent="0.4">
      <c r="B16" s="68"/>
      <c r="C16" s="84" t="s">
        <v>126</v>
      </c>
      <c r="D16" s="85"/>
      <c r="E16" s="10"/>
      <c r="F16" s="35" t="str">
        <f>"Estimated Scan End Position ("&amp;ROUND(Sheet2!D19,2)&amp;" zR)"</f>
        <v>Estimated Scan End Position (3 zR)</v>
      </c>
      <c r="G16" s="36">
        <f>Sheet2!AB62</f>
        <v>40.951066081601482</v>
      </c>
      <c r="H16" s="37" t="s">
        <v>3</v>
      </c>
      <c r="I16" s="10"/>
      <c r="J16" s="10"/>
      <c r="K16" s="10"/>
      <c r="L16" s="10"/>
      <c r="M16" s="10"/>
      <c r="Q16" s="38"/>
      <c r="R16" s="38" t="s">
        <v>120</v>
      </c>
      <c r="S16" s="38" t="str">
        <f>Sheet2!B64</f>
        <v>Beam'R2-IGA-2300</v>
      </c>
      <c r="T16" s="38"/>
      <c r="U16" s="38"/>
      <c r="V16" s="63"/>
      <c r="W16" s="63"/>
    </row>
    <row r="17" spans="2:23" ht="14.5" customHeight="1" x14ac:dyDescent="0.35">
      <c r="B17" s="68"/>
      <c r="C17" s="85"/>
      <c r="D17" s="85"/>
      <c r="E17" s="10"/>
      <c r="F17" s="14" t="s">
        <v>43</v>
      </c>
      <c r="G17" s="26">
        <f>IF((Sheet2!AB3-Sheet2!AB2)*1000=0,"N/A",(Sheet2!AB3-Sheet2!AB2)*1000)</f>
        <v>531.70220272004974</v>
      </c>
      <c r="H17" s="16" t="s">
        <v>21</v>
      </c>
      <c r="I17" s="10"/>
      <c r="J17" s="10"/>
      <c r="K17" s="10"/>
      <c r="L17" s="10"/>
      <c r="M17" s="10"/>
      <c r="Q17" s="38"/>
      <c r="R17" s="38" t="s">
        <v>122</v>
      </c>
      <c r="S17" s="38" t="str">
        <f>Sheet2!B65</f>
        <v>Beam'R2-IGA-2500</v>
      </c>
      <c r="T17" s="38"/>
      <c r="U17" s="38"/>
      <c r="V17" s="63"/>
      <c r="W17" s="63"/>
    </row>
    <row r="18" spans="2:23" x14ac:dyDescent="0.35">
      <c r="B18" s="68"/>
      <c r="C18" s="85"/>
      <c r="D18" s="85"/>
      <c r="I18" s="4"/>
      <c r="J18" s="4"/>
      <c r="K18" s="4"/>
      <c r="L18" s="4"/>
      <c r="M18" s="4"/>
      <c r="Q18" s="38"/>
      <c r="R18" s="38" t="s">
        <v>124</v>
      </c>
      <c r="S18" s="38" t="str">
        <f>Sheet2!B66</f>
        <v>WinCamD-LCM-ML</v>
      </c>
      <c r="T18" s="38"/>
      <c r="U18" s="38"/>
      <c r="V18" s="63"/>
      <c r="W18" s="63"/>
    </row>
    <row r="19" spans="2:23" ht="15" thickBot="1" x14ac:dyDescent="0.4">
      <c r="B19" s="68"/>
      <c r="C19" s="86"/>
      <c r="D19" s="86"/>
      <c r="F19" s="47" t="s">
        <v>50</v>
      </c>
      <c r="G19" s="48">
        <f>CEILING(G22-20,25)</f>
        <v>50</v>
      </c>
      <c r="H19" s="49" t="s">
        <v>3</v>
      </c>
      <c r="Q19" s="38"/>
      <c r="R19" s="38" t="s">
        <v>109</v>
      </c>
      <c r="S19" s="38">
        <f>Sheet2!C14</f>
        <v>50</v>
      </c>
      <c r="T19" s="38"/>
      <c r="U19" s="38"/>
      <c r="V19" s="63"/>
      <c r="W19" s="63"/>
    </row>
    <row r="20" spans="2:23" ht="14.5" customHeight="1" x14ac:dyDescent="0.35">
      <c r="B20" s="69" t="str">
        <f>IF(C10="Yes","Products: "&amp;'M2DU Measurement'!C7&amp;" on M2DU-"&amp;C8&amp;"-"&amp;Sheet2!C67&amp;" with LNZ-"&amp;Sheet2!E95&amp;"-"&amp;E11&amp;Sheet2!C71,"Products: "&amp;'M2DU Measurement'!C7&amp;" on M2DU-"&amp;C8&amp;"-"&amp;Sheet2!C67)</f>
        <v>Products: WinCamD-LCM on M2DU-50-WCD with LNZ-VIS-150</v>
      </c>
      <c r="C20" s="70"/>
      <c r="D20" s="71"/>
      <c r="Q20" s="38"/>
      <c r="R20" s="38" t="s">
        <v>110</v>
      </c>
      <c r="S20" s="38">
        <f>Sheet2!C15</f>
        <v>200</v>
      </c>
      <c r="T20" s="38"/>
      <c r="U20" s="38"/>
      <c r="V20" s="63"/>
      <c r="W20" s="63"/>
    </row>
    <row r="21" spans="2:23" ht="14.5" customHeight="1" thickBot="1" x14ac:dyDescent="0.4">
      <c r="B21" s="72"/>
      <c r="C21" s="73"/>
      <c r="D21" s="74"/>
      <c r="F21" s="14" t="s">
        <v>49</v>
      </c>
      <c r="G21" s="1">
        <f>IF(C10="Yes",30+Sheet2!I67,12.5)</f>
        <v>74</v>
      </c>
      <c r="H21" s="16" t="s">
        <v>3</v>
      </c>
      <c r="Q21" s="38"/>
      <c r="R21" s="38" t="s">
        <v>111</v>
      </c>
      <c r="S21" s="38" t="str">
        <f>Sheet2!B2</f>
        <v>Yes</v>
      </c>
      <c r="T21" s="38"/>
      <c r="U21" s="38"/>
      <c r="V21" s="63"/>
      <c r="W21" s="63"/>
    </row>
    <row r="22" spans="2:23" x14ac:dyDescent="0.35">
      <c r="B22" s="75" t="str">
        <f ca="1">Sheet2!B40</f>
        <v xml:space="preserve">This is an acceptable configuration. </v>
      </c>
      <c r="C22" s="76"/>
      <c r="D22" s="77"/>
      <c r="F22" s="18" t="s">
        <v>46</v>
      </c>
      <c r="G22" s="8">
        <f>IF(I22&lt;0,0,I22)</f>
        <v>50.937167397391789</v>
      </c>
      <c r="H22" s="2" t="s">
        <v>3</v>
      </c>
      <c r="I22" s="38">
        <f>IF((Sheet2!E19-Sheet2!E18)*G10&lt;C8,IF((Sheet2!E19*G10)&gt;(C8/2),(G9-G21-(C8-Sheet2!E19*G10)),((G9-C8/2)-G21)),(G9-C8/2)-G21)</f>
        <v>50.937167397391789</v>
      </c>
      <c r="Q22" s="38"/>
      <c r="R22" s="38" t="s">
        <v>112</v>
      </c>
      <c r="S22" s="38" t="str">
        <f>Sheet2!B3</f>
        <v>No</v>
      </c>
      <c r="T22" s="38"/>
      <c r="U22" s="38"/>
      <c r="V22" s="63"/>
      <c r="W22" s="63"/>
    </row>
    <row r="23" spans="2:23" x14ac:dyDescent="0.35">
      <c r="B23" s="78"/>
      <c r="C23" s="79"/>
      <c r="D23" s="80"/>
      <c r="F23" s="14" t="str">
        <f>IF(C10="Yes","LPPS0","Input Plane to Sensor Zero")</f>
        <v>LPPS0</v>
      </c>
      <c r="G23" s="8">
        <f>G22+G21</f>
        <v>124.93716739739179</v>
      </c>
      <c r="H23" s="16" t="s">
        <v>3</v>
      </c>
      <c r="Q23" s="38"/>
      <c r="R23" s="38" t="s">
        <v>113</v>
      </c>
      <c r="S23" s="38" t="str">
        <f>Sheet2!E73</f>
        <v>Custom</v>
      </c>
      <c r="T23" s="38"/>
      <c r="U23" s="38"/>
      <c r="V23" s="63"/>
      <c r="W23" s="63"/>
    </row>
    <row r="24" spans="2:23" x14ac:dyDescent="0.35">
      <c r="B24" s="78"/>
      <c r="C24" s="79"/>
      <c r="D24" s="80"/>
      <c r="Q24" s="38"/>
      <c r="R24" s="38" t="s">
        <v>114</v>
      </c>
      <c r="S24" s="38">
        <f>Sheet2!F96</f>
        <v>1</v>
      </c>
      <c r="T24" s="38"/>
      <c r="U24" s="38"/>
      <c r="V24" s="63"/>
      <c r="W24" s="63"/>
    </row>
    <row r="25" spans="2:23" ht="15" thickBot="1" x14ac:dyDescent="0.4">
      <c r="B25" s="81"/>
      <c r="C25" s="82"/>
      <c r="D25" s="83"/>
      <c r="Q25" s="38"/>
      <c r="R25" s="38" t="s">
        <v>115</v>
      </c>
      <c r="S25" s="38">
        <f>Sheet2!G95</f>
        <v>10</v>
      </c>
      <c r="T25" s="38"/>
      <c r="U25" s="38"/>
      <c r="V25" s="63"/>
      <c r="W25" s="63"/>
    </row>
    <row r="26" spans="2:23" x14ac:dyDescent="0.35">
      <c r="Q26" s="38"/>
      <c r="R26" s="38" t="s">
        <v>116</v>
      </c>
      <c r="S26" s="38" t="str">
        <f>Sheet2!B22</f>
        <v>mrad</v>
      </c>
      <c r="T26" s="38"/>
      <c r="U26" s="38"/>
      <c r="V26" s="63"/>
      <c r="W26" s="63"/>
    </row>
    <row r="27" spans="2:23" x14ac:dyDescent="0.35">
      <c r="Q27" s="38"/>
      <c r="R27" s="38" t="s">
        <v>117</v>
      </c>
      <c r="S27" s="38" t="str">
        <f>Sheet2!B23</f>
        <v>degrees</v>
      </c>
      <c r="T27" s="38"/>
      <c r="U27" s="38"/>
      <c r="V27" s="63"/>
      <c r="W27" s="63"/>
    </row>
    <row r="28" spans="2:23" x14ac:dyDescent="0.35">
      <c r="Q28" s="38"/>
      <c r="R28" s="38" t="s">
        <v>118</v>
      </c>
      <c r="S28" s="38" t="str">
        <f>Sheet2!B24</f>
        <v>NA</v>
      </c>
      <c r="T28" s="65"/>
      <c r="U28" s="65"/>
      <c r="V28" s="46"/>
      <c r="W28" s="46"/>
    </row>
    <row r="29" spans="2:23" x14ac:dyDescent="0.35">
      <c r="Q29" s="38"/>
      <c r="R29" s="38"/>
      <c r="S29" s="38"/>
      <c r="T29" s="65"/>
      <c r="U29" s="65"/>
      <c r="V29" s="46"/>
      <c r="W29" s="46"/>
    </row>
    <row r="30" spans="2:23" x14ac:dyDescent="0.35">
      <c r="Q30" s="38"/>
      <c r="R30" s="38"/>
      <c r="S30" s="38"/>
      <c r="T30" s="65"/>
      <c r="U30" s="65"/>
      <c r="V30" s="46"/>
      <c r="W30" s="46"/>
    </row>
    <row r="31" spans="2:23" x14ac:dyDescent="0.35">
      <c r="Q31" s="38"/>
      <c r="R31" s="65"/>
      <c r="S31" s="65"/>
      <c r="T31" s="65"/>
      <c r="U31" s="65"/>
      <c r="V31" s="46"/>
      <c r="W31" s="46"/>
    </row>
    <row r="32" spans="2:23" x14ac:dyDescent="0.35">
      <c r="C32" s="29"/>
      <c r="D32" s="29"/>
      <c r="Q32" s="38"/>
      <c r="R32" s="65"/>
      <c r="S32" s="65"/>
      <c r="T32" s="65"/>
      <c r="U32" s="65"/>
      <c r="V32" s="46"/>
      <c r="W32" s="46"/>
    </row>
    <row r="33" spans="3:23" x14ac:dyDescent="0.35">
      <c r="C33" s="29"/>
      <c r="D33" s="29"/>
      <c r="Q33" s="63"/>
      <c r="R33" s="46"/>
      <c r="S33" s="46"/>
      <c r="T33" s="46"/>
      <c r="U33" s="46"/>
      <c r="V33" s="46"/>
      <c r="W33" s="46"/>
    </row>
    <row r="34" spans="3:23" x14ac:dyDescent="0.35">
      <c r="C34" s="29"/>
      <c r="D34" s="29"/>
      <c r="Q34" s="63"/>
      <c r="R34" s="46"/>
      <c r="S34" s="46"/>
      <c r="T34" s="46"/>
      <c r="U34" s="46"/>
      <c r="V34" s="46"/>
      <c r="W34" s="46"/>
    </row>
    <row r="35" spans="3:23" x14ac:dyDescent="0.35">
      <c r="C35" s="29"/>
      <c r="D35" s="29"/>
      <c r="Q35" s="63"/>
      <c r="R35" s="46"/>
      <c r="S35" s="46"/>
      <c r="T35" s="46"/>
      <c r="U35" s="46"/>
      <c r="V35" s="46"/>
      <c r="W35" s="46"/>
    </row>
    <row r="36" spans="3:23" x14ac:dyDescent="0.35">
      <c r="Q36" s="63"/>
      <c r="R36" s="46"/>
      <c r="S36" s="46"/>
      <c r="T36" s="46"/>
      <c r="U36" s="46"/>
      <c r="V36" s="46"/>
      <c r="W36" s="46"/>
    </row>
    <row r="37" spans="3:23" x14ac:dyDescent="0.35">
      <c r="Q37" s="63"/>
      <c r="R37" s="46"/>
      <c r="S37" s="46"/>
      <c r="T37" s="46"/>
      <c r="U37" s="46"/>
      <c r="V37" s="46"/>
      <c r="W37" s="46"/>
    </row>
    <row r="38" spans="3:23" x14ac:dyDescent="0.35">
      <c r="Q38" s="63"/>
      <c r="R38" s="46"/>
      <c r="S38" s="46"/>
      <c r="T38" s="46"/>
      <c r="U38" s="46"/>
      <c r="V38" s="46"/>
      <c r="W38" s="46"/>
    </row>
    <row r="39" spans="3:23" x14ac:dyDescent="0.35">
      <c r="Q39" s="63"/>
      <c r="R39" s="46"/>
      <c r="S39" s="46"/>
      <c r="T39" s="63"/>
      <c r="U39" s="63"/>
      <c r="V39" s="63"/>
      <c r="W39" s="63"/>
    </row>
    <row r="40" spans="3:23" x14ac:dyDescent="0.35">
      <c r="R40" s="46"/>
      <c r="S40" s="46"/>
      <c r="T40" s="63"/>
      <c r="U40" s="63"/>
      <c r="V40" s="63"/>
      <c r="W40" s="63"/>
    </row>
    <row r="41" spans="3:23" x14ac:dyDescent="0.35">
      <c r="R41" s="46"/>
      <c r="S41" s="46"/>
      <c r="T41" s="63"/>
      <c r="U41" s="63"/>
      <c r="V41" s="63"/>
      <c r="W41" s="63"/>
    </row>
    <row r="42" spans="3:23" x14ac:dyDescent="0.35">
      <c r="R42" s="63"/>
      <c r="S42" s="63"/>
      <c r="T42" s="63"/>
      <c r="U42" s="63"/>
      <c r="V42" s="63"/>
      <c r="W42" s="63"/>
    </row>
    <row r="43" spans="3:23" x14ac:dyDescent="0.35">
      <c r="R43" s="63"/>
      <c r="S43" s="63"/>
      <c r="T43" s="63"/>
      <c r="U43" s="63"/>
      <c r="V43" s="63"/>
      <c r="W43" s="63"/>
    </row>
    <row r="44" spans="3:23" x14ac:dyDescent="0.35">
      <c r="R44" s="63"/>
      <c r="S44" s="63"/>
    </row>
    <row r="45" spans="3:23" x14ac:dyDescent="0.35">
      <c r="R45" s="63"/>
      <c r="S45" s="63"/>
    </row>
    <row r="46" spans="3:23" x14ac:dyDescent="0.35">
      <c r="R46" s="63"/>
      <c r="S46" s="63"/>
    </row>
    <row r="68" spans="2:18" x14ac:dyDescent="0.35">
      <c r="B68" s="38" t="str">
        <f>Sheet2!B71</f>
        <v>Lens Size ID</v>
      </c>
      <c r="C68" s="38" t="str">
        <f>Sheet2!C71</f>
        <v/>
      </c>
      <c r="D68" s="38">
        <f>Sheet2!D71</f>
        <v>0</v>
      </c>
      <c r="E68" s="38">
        <f>Sheet2!E71</f>
        <v>0</v>
      </c>
      <c r="F68" s="38">
        <f>Sheet2!F71</f>
        <v>0</v>
      </c>
      <c r="G68" s="38">
        <f>Sheet2!G71</f>
        <v>0</v>
      </c>
      <c r="H68" s="38">
        <f>Sheet2!H71</f>
        <v>0</v>
      </c>
      <c r="I68" s="38">
        <f>Sheet2!I71</f>
        <v>0</v>
      </c>
      <c r="J68" s="38">
        <f>Sheet2!J71</f>
        <v>0</v>
      </c>
      <c r="K68" s="38">
        <f>Sheet2!K71</f>
        <v>0</v>
      </c>
      <c r="L68" s="38">
        <f>Sheet2!L71</f>
        <v>0</v>
      </c>
      <c r="M68" s="38">
        <f>Sheet2!M71</f>
        <v>0</v>
      </c>
      <c r="N68" s="38">
        <f>Sheet2!N71</f>
        <v>0</v>
      </c>
      <c r="O68" s="38">
        <f>Sheet2!O71</f>
        <v>0</v>
      </c>
      <c r="P68" s="38">
        <f>Sheet2!P71</f>
        <v>0</v>
      </c>
      <c r="Q68" s="38">
        <f>Sheet2!Q71</f>
        <v>0</v>
      </c>
    </row>
    <row r="69" spans="2:18" x14ac:dyDescent="0.35">
      <c r="B69" s="38" t="str">
        <f>Sheet2!B72</f>
        <v>Lens FL</v>
      </c>
      <c r="C69" s="38">
        <f>Sheet2!C72</f>
        <v>0</v>
      </c>
      <c r="D69" s="38">
        <f>Sheet2!D72</f>
        <v>0</v>
      </c>
      <c r="E69" s="38" t="str">
        <f>Sheet2!E72</f>
        <v>UV</v>
      </c>
      <c r="F69" s="38" t="str">
        <f>Sheet2!F72</f>
        <v>VIS</v>
      </c>
      <c r="G69" s="38" t="str">
        <f>Sheet2!G72</f>
        <v>NIR</v>
      </c>
      <c r="H69" s="38" t="str">
        <f>Sheet2!H72</f>
        <v>TEL</v>
      </c>
      <c r="I69" s="38" t="str">
        <f>Sheet2!I72</f>
        <v>MWIR</v>
      </c>
      <c r="J69" s="38" t="str">
        <f>Sheet2!J72</f>
        <v>FIR</v>
      </c>
      <c r="K69" s="38" t="str">
        <f>Sheet2!K72</f>
        <v>CUSTOM</v>
      </c>
      <c r="L69" s="38" t="str">
        <f>Sheet2!L72</f>
        <v>UV-50</v>
      </c>
      <c r="M69" s="38" t="str">
        <f>Sheet2!M72</f>
        <v>VIS-50</v>
      </c>
      <c r="N69" s="38" t="str">
        <f>Sheet2!N72</f>
        <v>NIR-50</v>
      </c>
      <c r="O69" s="38" t="str">
        <f>Sheet2!O72</f>
        <v>TEL-50</v>
      </c>
      <c r="P69" s="38" t="str">
        <f>Sheet2!P72</f>
        <v>MWIR-50</v>
      </c>
      <c r="Q69" s="38" t="str">
        <f>Sheet2!Q72</f>
        <v>FIR-50</v>
      </c>
    </row>
    <row r="70" spans="2:18" x14ac:dyDescent="0.35">
      <c r="B70" s="38">
        <f>Sheet2!B73</f>
        <v>0</v>
      </c>
      <c r="C70" s="38">
        <f>Sheet2!C73</f>
        <v>0</v>
      </c>
      <c r="D70" s="38">
        <f>Sheet2!D73</f>
        <v>0</v>
      </c>
      <c r="E70" s="38" t="str">
        <f>Sheet2!E73</f>
        <v>Custom</v>
      </c>
      <c r="F70" s="38" t="str">
        <f>Sheet2!F73</f>
        <v>Custom</v>
      </c>
      <c r="G70" s="38" t="str">
        <f>Sheet2!G73</f>
        <v>Custom</v>
      </c>
      <c r="H70" s="38" t="str">
        <f>Sheet2!H73</f>
        <v>Custom</v>
      </c>
      <c r="I70" s="38" t="str">
        <f>Sheet2!I73</f>
        <v>Custom</v>
      </c>
      <c r="J70" s="38" t="str">
        <f>Sheet2!J73</f>
        <v>Custom</v>
      </c>
      <c r="K70" s="38" t="str">
        <f>Sheet2!K73</f>
        <v>Custom</v>
      </c>
      <c r="L70" s="38" t="str">
        <f>Sheet2!L73</f>
        <v>Custom</v>
      </c>
      <c r="M70" s="38" t="str">
        <f>Sheet2!M73</f>
        <v>Custom</v>
      </c>
      <c r="N70" s="38" t="str">
        <f>Sheet2!N73</f>
        <v>Custom</v>
      </c>
      <c r="O70" s="38" t="str">
        <f>Sheet2!O73</f>
        <v>Custom</v>
      </c>
      <c r="P70" s="38" t="str">
        <f>Sheet2!P73</f>
        <v>Custom</v>
      </c>
      <c r="Q70" s="38" t="str">
        <f>Sheet2!Q73</f>
        <v>Custom</v>
      </c>
    </row>
    <row r="71" spans="2:18" x14ac:dyDescent="0.35">
      <c r="B71" s="38">
        <f>Sheet2!B74</f>
        <v>0</v>
      </c>
      <c r="C71" s="38">
        <f>Sheet2!C74</f>
        <v>0</v>
      </c>
      <c r="D71" s="38">
        <f>Sheet2!D74</f>
        <v>0</v>
      </c>
      <c r="E71" s="38">
        <f>Sheet2!E74</f>
        <v>50</v>
      </c>
      <c r="F71" s="38">
        <f>Sheet2!F74</f>
        <v>50</v>
      </c>
      <c r="G71" s="38">
        <f>Sheet2!G74</f>
        <v>50</v>
      </c>
      <c r="H71" s="38">
        <f>Sheet2!H74</f>
        <v>50</v>
      </c>
      <c r="I71" s="38">
        <f>Sheet2!I74</f>
        <v>50</v>
      </c>
      <c r="J71" s="38">
        <f>Sheet2!J74</f>
        <v>50</v>
      </c>
      <c r="K71" s="38">
        <f>Sheet2!K74</f>
        <v>0</v>
      </c>
      <c r="L71" s="38">
        <f>Sheet2!L74</f>
        <v>75</v>
      </c>
      <c r="M71" s="38">
        <f>Sheet2!M74</f>
        <v>75</v>
      </c>
      <c r="N71" s="38">
        <f>Sheet2!N74</f>
        <v>75</v>
      </c>
      <c r="O71" s="38">
        <f>Sheet2!O74</f>
        <v>75</v>
      </c>
      <c r="P71" s="38">
        <f>Sheet2!P74</f>
        <v>0</v>
      </c>
      <c r="Q71" s="38">
        <f>Sheet2!Q74</f>
        <v>0</v>
      </c>
      <c r="R71" s="38">
        <f>Sheet2!R71</f>
        <v>0</v>
      </c>
    </row>
    <row r="72" spans="2:18" x14ac:dyDescent="0.35">
      <c r="B72" s="38">
        <f>Sheet2!B75</f>
        <v>0</v>
      </c>
      <c r="C72" s="38">
        <f>Sheet2!C75</f>
        <v>0</v>
      </c>
      <c r="D72" s="38">
        <f>Sheet2!D75</f>
        <v>0</v>
      </c>
      <c r="E72" s="38">
        <f>Sheet2!E75</f>
        <v>75</v>
      </c>
      <c r="F72" s="38">
        <f>Sheet2!F75</f>
        <v>75</v>
      </c>
      <c r="G72" s="38">
        <f>Sheet2!G75</f>
        <v>75</v>
      </c>
      <c r="H72" s="38">
        <f>Sheet2!H75</f>
        <v>75</v>
      </c>
      <c r="I72" s="38">
        <f>Sheet2!I75</f>
        <v>75</v>
      </c>
      <c r="J72" s="38">
        <f>Sheet2!J75</f>
        <v>75</v>
      </c>
      <c r="K72" s="38">
        <f>Sheet2!K75</f>
        <v>0</v>
      </c>
      <c r="L72" s="38">
        <f>Sheet2!L75</f>
        <v>100</v>
      </c>
      <c r="M72" s="38">
        <f>Sheet2!M75</f>
        <v>100</v>
      </c>
      <c r="N72" s="38">
        <f>Sheet2!N75</f>
        <v>100</v>
      </c>
      <c r="O72" s="38">
        <f>Sheet2!O75</f>
        <v>100</v>
      </c>
      <c r="P72" s="38">
        <f>Sheet2!P75</f>
        <v>0</v>
      </c>
      <c r="Q72" s="38">
        <f>Sheet2!Q75</f>
        <v>0</v>
      </c>
      <c r="R72" s="38" t="str">
        <f>Sheet2!R72</f>
        <v>CUSTOM</v>
      </c>
    </row>
    <row r="73" spans="2:18" x14ac:dyDescent="0.35">
      <c r="B73" s="38">
        <f>Sheet2!B76</f>
        <v>0</v>
      </c>
      <c r="C73" s="38">
        <f>Sheet2!C76</f>
        <v>0</v>
      </c>
      <c r="D73" s="38">
        <f>Sheet2!D76</f>
        <v>0</v>
      </c>
      <c r="E73" s="38">
        <f>Sheet2!E76</f>
        <v>100</v>
      </c>
      <c r="F73" s="38">
        <f>Sheet2!F76</f>
        <v>100</v>
      </c>
      <c r="G73" s="38">
        <f>Sheet2!G76</f>
        <v>100</v>
      </c>
      <c r="H73" s="38">
        <f>Sheet2!H76</f>
        <v>100</v>
      </c>
      <c r="I73" s="38">
        <f>Sheet2!I76</f>
        <v>100</v>
      </c>
      <c r="J73" s="38">
        <f>Sheet2!J76</f>
        <v>100</v>
      </c>
      <c r="K73" s="38">
        <f>Sheet2!K76</f>
        <v>0</v>
      </c>
      <c r="L73" s="38">
        <f>Sheet2!L76</f>
        <v>150</v>
      </c>
      <c r="M73" s="38">
        <f>Sheet2!M76</f>
        <v>150</v>
      </c>
      <c r="N73" s="38">
        <f>Sheet2!N76</f>
        <v>150</v>
      </c>
      <c r="O73" s="38">
        <f>Sheet2!O76</f>
        <v>150</v>
      </c>
      <c r="P73" s="38">
        <f>Sheet2!P76</f>
        <v>0</v>
      </c>
      <c r="Q73" s="38">
        <f>Sheet2!Q76</f>
        <v>0</v>
      </c>
      <c r="R73" s="38" t="str">
        <f>Sheet2!R73</f>
        <v>Custom</v>
      </c>
    </row>
    <row r="74" spans="2:18" x14ac:dyDescent="0.35">
      <c r="B74" s="38">
        <f>Sheet2!B77</f>
        <v>0</v>
      </c>
      <c r="C74" s="38">
        <f>Sheet2!C77</f>
        <v>0</v>
      </c>
      <c r="D74" s="38">
        <f>Sheet2!D77</f>
        <v>0</v>
      </c>
      <c r="E74" s="38">
        <f>Sheet2!E77</f>
        <v>150</v>
      </c>
      <c r="F74" s="38">
        <f>Sheet2!F77</f>
        <v>150</v>
      </c>
      <c r="G74" s="38">
        <f>Sheet2!G77</f>
        <v>150</v>
      </c>
      <c r="H74" s="38">
        <f>Sheet2!H77</f>
        <v>150</v>
      </c>
      <c r="I74" s="38">
        <f>Sheet2!I77</f>
        <v>150</v>
      </c>
      <c r="J74" s="38">
        <f>Sheet2!J77</f>
        <v>150</v>
      </c>
      <c r="K74" s="38">
        <f>Sheet2!K77</f>
        <v>0</v>
      </c>
      <c r="L74" s="38">
        <f>Sheet2!L77</f>
        <v>200</v>
      </c>
      <c r="M74" s="38">
        <f>Sheet2!M77</f>
        <v>200</v>
      </c>
      <c r="N74" s="38">
        <f>Sheet2!N77</f>
        <v>200</v>
      </c>
      <c r="O74" s="38">
        <f>Sheet2!O77</f>
        <v>200</v>
      </c>
      <c r="P74" s="38">
        <f>Sheet2!P77</f>
        <v>0</v>
      </c>
      <c r="Q74" s="38">
        <f>Sheet2!Q77</f>
        <v>0</v>
      </c>
      <c r="R74" s="38">
        <f>Sheet2!R74</f>
        <v>0</v>
      </c>
    </row>
    <row r="75" spans="2:18" x14ac:dyDescent="0.35">
      <c r="B75" s="38">
        <f>Sheet2!B78</f>
        <v>0</v>
      </c>
      <c r="C75" s="38">
        <f>Sheet2!C78</f>
        <v>0</v>
      </c>
      <c r="D75" s="38">
        <f>Sheet2!D78</f>
        <v>0</v>
      </c>
      <c r="E75" s="38">
        <f>Sheet2!E78</f>
        <v>200</v>
      </c>
      <c r="F75" s="38">
        <f>Sheet2!F78</f>
        <v>200</v>
      </c>
      <c r="G75" s="38">
        <f>Sheet2!G78</f>
        <v>200</v>
      </c>
      <c r="H75" s="38">
        <f>Sheet2!H78</f>
        <v>200</v>
      </c>
      <c r="I75" s="38">
        <f>Sheet2!I78</f>
        <v>200</v>
      </c>
      <c r="J75" s="38">
        <f>Sheet2!J78</f>
        <v>200</v>
      </c>
      <c r="K75" s="38">
        <f>Sheet2!K78</f>
        <v>0</v>
      </c>
      <c r="L75" s="38">
        <f>Sheet2!L78</f>
        <v>250</v>
      </c>
      <c r="M75" s="38">
        <f>Sheet2!M78</f>
        <v>250</v>
      </c>
      <c r="N75" s="38">
        <f>Sheet2!N78</f>
        <v>250</v>
      </c>
      <c r="O75" s="38">
        <f>Sheet2!O78</f>
        <v>250</v>
      </c>
      <c r="P75" s="38">
        <f>Sheet2!P78</f>
        <v>0</v>
      </c>
      <c r="Q75" s="38">
        <f>Sheet2!Q78</f>
        <v>0</v>
      </c>
      <c r="R75" s="38">
        <f>Sheet2!R75</f>
        <v>0</v>
      </c>
    </row>
    <row r="76" spans="2:18" x14ac:dyDescent="0.35">
      <c r="B76" s="38">
        <f>Sheet2!B79</f>
        <v>0</v>
      </c>
      <c r="C76" s="38">
        <f>Sheet2!C79</f>
        <v>0</v>
      </c>
      <c r="D76" s="38">
        <f>Sheet2!D79</f>
        <v>0</v>
      </c>
      <c r="E76" s="38">
        <f>Sheet2!E79</f>
        <v>250</v>
      </c>
      <c r="F76" s="38">
        <f>Sheet2!F79</f>
        <v>250</v>
      </c>
      <c r="G76" s="38">
        <f>Sheet2!G79</f>
        <v>250</v>
      </c>
      <c r="H76" s="38">
        <f>Sheet2!H79</f>
        <v>250</v>
      </c>
      <c r="I76" s="38">
        <f>Sheet2!I79</f>
        <v>250</v>
      </c>
      <c r="J76" s="38">
        <f>Sheet2!J79</f>
        <v>500</v>
      </c>
      <c r="K76" s="38">
        <f>Sheet2!K79</f>
        <v>0</v>
      </c>
      <c r="L76" s="38">
        <f>Sheet2!L79</f>
        <v>300</v>
      </c>
      <c r="M76" s="38">
        <f>Sheet2!M79</f>
        <v>300</v>
      </c>
      <c r="N76" s="38">
        <f>Sheet2!N79</f>
        <v>300</v>
      </c>
      <c r="O76" s="38">
        <f>Sheet2!O79</f>
        <v>300</v>
      </c>
      <c r="P76" s="38">
        <f>Sheet2!P79</f>
        <v>0</v>
      </c>
      <c r="Q76" s="38">
        <f>Sheet2!Q79</f>
        <v>0</v>
      </c>
      <c r="R76" s="38">
        <f>Sheet2!R76</f>
        <v>0</v>
      </c>
    </row>
    <row r="77" spans="2:18" x14ac:dyDescent="0.35">
      <c r="B77" s="38">
        <f>Sheet2!B80</f>
        <v>0</v>
      </c>
      <c r="C77" s="38">
        <f>Sheet2!C80</f>
        <v>0</v>
      </c>
      <c r="D77" s="38">
        <f>Sheet2!D80</f>
        <v>0</v>
      </c>
      <c r="E77" s="38">
        <f>Sheet2!E80</f>
        <v>300</v>
      </c>
      <c r="F77" s="38">
        <f>Sheet2!F80</f>
        <v>300</v>
      </c>
      <c r="G77" s="38">
        <f>Sheet2!G80</f>
        <v>300</v>
      </c>
      <c r="H77" s="38">
        <f>Sheet2!H80</f>
        <v>300</v>
      </c>
      <c r="I77" s="38">
        <f>Sheet2!I80</f>
        <v>500</v>
      </c>
      <c r="J77" s="38">
        <f>Sheet2!J80</f>
        <v>750</v>
      </c>
      <c r="K77" s="38">
        <f>Sheet2!K80</f>
        <v>0</v>
      </c>
      <c r="L77" s="38">
        <f>Sheet2!L80</f>
        <v>500</v>
      </c>
      <c r="M77" s="38">
        <f>Sheet2!M80</f>
        <v>400</v>
      </c>
      <c r="N77" s="38">
        <f>Sheet2!N80</f>
        <v>400</v>
      </c>
      <c r="O77" s="38">
        <f>Sheet2!O80</f>
        <v>400</v>
      </c>
      <c r="P77" s="38">
        <f>Sheet2!P80</f>
        <v>0</v>
      </c>
      <c r="Q77" s="38">
        <f>Sheet2!Q80</f>
        <v>0</v>
      </c>
      <c r="R77" s="38">
        <f>Sheet2!R77</f>
        <v>0</v>
      </c>
    </row>
    <row r="78" spans="2:18" x14ac:dyDescent="0.35">
      <c r="B78" s="38">
        <f>Sheet2!B81</f>
        <v>0</v>
      </c>
      <c r="C78" s="38">
        <f>Sheet2!C81</f>
        <v>0</v>
      </c>
      <c r="D78" s="38">
        <f>Sheet2!D81</f>
        <v>0</v>
      </c>
      <c r="E78" s="38">
        <f>Sheet2!E81</f>
        <v>500</v>
      </c>
      <c r="F78" s="38">
        <f>Sheet2!F81</f>
        <v>400</v>
      </c>
      <c r="G78" s="38">
        <f>Sheet2!G81</f>
        <v>400</v>
      </c>
      <c r="H78" s="38">
        <f>Sheet2!H81</f>
        <v>400</v>
      </c>
      <c r="I78" s="38">
        <f>Sheet2!I81</f>
        <v>750</v>
      </c>
      <c r="J78" s="38">
        <f>Sheet2!J81</f>
        <v>1000</v>
      </c>
      <c r="K78" s="38">
        <f>Sheet2!K81</f>
        <v>0</v>
      </c>
      <c r="L78" s="38">
        <f>Sheet2!L81</f>
        <v>750</v>
      </c>
      <c r="M78" s="38">
        <f>Sheet2!M81</f>
        <v>500</v>
      </c>
      <c r="N78" s="38">
        <f>Sheet2!N81</f>
        <v>500</v>
      </c>
      <c r="O78" s="38">
        <f>Sheet2!O81</f>
        <v>500</v>
      </c>
      <c r="P78" s="38">
        <f>Sheet2!P81</f>
        <v>0</v>
      </c>
      <c r="Q78" s="38">
        <f>Sheet2!Q81</f>
        <v>0</v>
      </c>
      <c r="R78" s="38">
        <f>Sheet2!R78</f>
        <v>0</v>
      </c>
    </row>
    <row r="79" spans="2:18" x14ac:dyDescent="0.35">
      <c r="B79" s="38">
        <f>Sheet2!B82</f>
        <v>0</v>
      </c>
      <c r="C79" s="38" t="str">
        <f>Sheet2!C82</f>
        <v>Custom</v>
      </c>
      <c r="D79" s="38">
        <f>Sheet2!D82</f>
        <v>0</v>
      </c>
      <c r="E79" s="38">
        <f>Sheet2!E82</f>
        <v>750</v>
      </c>
      <c r="F79" s="38">
        <f>Sheet2!F82</f>
        <v>500</v>
      </c>
      <c r="G79" s="38">
        <f>Sheet2!G82</f>
        <v>500</v>
      </c>
      <c r="H79" s="38">
        <f>Sheet2!H82</f>
        <v>500</v>
      </c>
      <c r="I79" s="38">
        <f>Sheet2!I82</f>
        <v>1000</v>
      </c>
      <c r="J79" s="38">
        <f>Sheet2!J82</f>
        <v>0</v>
      </c>
      <c r="K79" s="38">
        <f>Sheet2!K82</f>
        <v>0</v>
      </c>
      <c r="L79" s="38">
        <f>Sheet2!L82</f>
        <v>1000</v>
      </c>
      <c r="M79" s="38">
        <f>Sheet2!M82</f>
        <v>750</v>
      </c>
      <c r="N79" s="38">
        <f>Sheet2!N82</f>
        <v>750</v>
      </c>
      <c r="O79" s="38">
        <f>Sheet2!O82</f>
        <v>750</v>
      </c>
      <c r="P79" s="38">
        <f>Sheet2!P82</f>
        <v>0</v>
      </c>
      <c r="Q79" s="38">
        <f>Sheet2!Q82</f>
        <v>0</v>
      </c>
      <c r="R79" s="38">
        <f>Sheet2!R79</f>
        <v>0</v>
      </c>
    </row>
    <row r="80" spans="2:18" x14ac:dyDescent="0.35">
      <c r="B80" s="38">
        <f>Sheet2!B83</f>
        <v>0</v>
      </c>
      <c r="C80" s="38" t="str">
        <f>Sheet2!C83</f>
        <v>Custom</v>
      </c>
      <c r="D80" s="38">
        <f>Sheet2!D83</f>
        <v>0</v>
      </c>
      <c r="E80" s="38">
        <f>Sheet2!E83</f>
        <v>1000</v>
      </c>
      <c r="F80" s="38">
        <f>Sheet2!F83</f>
        <v>0</v>
      </c>
      <c r="G80" s="38">
        <f>Sheet2!G83</f>
        <v>0</v>
      </c>
      <c r="H80" s="38">
        <f>Sheet2!H83</f>
        <v>0</v>
      </c>
      <c r="I80" s="38">
        <f>Sheet2!I83</f>
        <v>0</v>
      </c>
      <c r="J80" s="38">
        <f>Sheet2!J83</f>
        <v>0</v>
      </c>
      <c r="K80" s="38">
        <f>Sheet2!K83</f>
        <v>0</v>
      </c>
      <c r="L80" s="38">
        <f>Sheet2!L83</f>
        <v>0</v>
      </c>
      <c r="M80" s="38">
        <f>Sheet2!M83</f>
        <v>1000</v>
      </c>
      <c r="N80" s="38">
        <f>Sheet2!N83</f>
        <v>1000</v>
      </c>
      <c r="O80" s="38">
        <f>Sheet2!O83</f>
        <v>1000</v>
      </c>
      <c r="P80" s="38">
        <f>Sheet2!P83</f>
        <v>0</v>
      </c>
      <c r="Q80" s="38">
        <f>Sheet2!Q83</f>
        <v>0</v>
      </c>
      <c r="R80" s="38">
        <f>Sheet2!R80</f>
        <v>0</v>
      </c>
    </row>
    <row r="81" spans="2:18" x14ac:dyDescent="0.35">
      <c r="B81" s="38">
        <f>Sheet2!B84</f>
        <v>0</v>
      </c>
      <c r="C81" s="38">
        <f>Sheet2!C84</f>
        <v>0</v>
      </c>
      <c r="D81" s="38">
        <f>Sheet2!D84</f>
        <v>0</v>
      </c>
      <c r="E81" s="38">
        <f>Sheet2!E84</f>
        <v>0</v>
      </c>
      <c r="F81" s="38">
        <f>Sheet2!F84</f>
        <v>0</v>
      </c>
      <c r="G81" s="38">
        <f>Sheet2!G84</f>
        <v>0</v>
      </c>
      <c r="H81" s="38">
        <f>Sheet2!H84</f>
        <v>0</v>
      </c>
      <c r="I81" s="38">
        <f>Sheet2!I84</f>
        <v>0</v>
      </c>
      <c r="J81" s="38">
        <f>Sheet2!J84</f>
        <v>0</v>
      </c>
      <c r="K81" s="38">
        <f>Sheet2!K84</f>
        <v>0</v>
      </c>
      <c r="L81" s="38">
        <f>Sheet2!L84</f>
        <v>0</v>
      </c>
      <c r="M81" s="38">
        <f>Sheet2!M84</f>
        <v>0</v>
      </c>
      <c r="N81" s="38">
        <f>Sheet2!N84</f>
        <v>0</v>
      </c>
      <c r="O81" s="38">
        <f>Sheet2!O84</f>
        <v>0</v>
      </c>
      <c r="P81" s="38">
        <f>Sheet2!P84</f>
        <v>0</v>
      </c>
      <c r="Q81" s="38">
        <f>Sheet2!Q84</f>
        <v>0</v>
      </c>
      <c r="R81" s="38">
        <f>Sheet2!R81</f>
        <v>0</v>
      </c>
    </row>
    <row r="82" spans="2:18" x14ac:dyDescent="0.35">
      <c r="B82" s="38">
        <f>Sheet2!B85</f>
        <v>0</v>
      </c>
      <c r="C82" s="38">
        <f>Sheet2!C85</f>
        <v>0</v>
      </c>
      <c r="D82" s="38">
        <f>Sheet2!D85</f>
        <v>0</v>
      </c>
      <c r="E82" s="38">
        <f>Sheet2!E85</f>
        <v>0</v>
      </c>
      <c r="F82" s="38">
        <f>Sheet2!F85</f>
        <v>0</v>
      </c>
      <c r="G82" s="38">
        <f>Sheet2!G85</f>
        <v>0</v>
      </c>
      <c r="H82" s="38">
        <f>Sheet2!H85</f>
        <v>0</v>
      </c>
      <c r="I82" s="38">
        <f>Sheet2!I85</f>
        <v>0</v>
      </c>
      <c r="J82" s="38">
        <f>Sheet2!J85</f>
        <v>0</v>
      </c>
      <c r="K82" s="38">
        <f>Sheet2!K85</f>
        <v>0</v>
      </c>
      <c r="L82" s="38">
        <f>Sheet2!L85</f>
        <v>0</v>
      </c>
      <c r="M82" s="38">
        <f>Sheet2!M85</f>
        <v>0</v>
      </c>
      <c r="N82" s="38">
        <f>Sheet2!N85</f>
        <v>0</v>
      </c>
      <c r="O82" s="38">
        <f>Sheet2!O85</f>
        <v>0</v>
      </c>
      <c r="P82" s="38">
        <f>Sheet2!P85</f>
        <v>0</v>
      </c>
      <c r="Q82" s="38">
        <f>Sheet2!Q85</f>
        <v>0</v>
      </c>
      <c r="R82" s="38">
        <f>Sheet2!R82</f>
        <v>0</v>
      </c>
    </row>
    <row r="83" spans="2:18" x14ac:dyDescent="0.35">
      <c r="B83" s="38">
        <f>Sheet2!B86</f>
        <v>0</v>
      </c>
      <c r="C83" s="38">
        <f>Sheet2!C86</f>
        <v>0</v>
      </c>
      <c r="D83" s="38">
        <f>Sheet2!D86</f>
        <v>0</v>
      </c>
      <c r="E83" s="38">
        <f>Sheet2!E86</f>
        <v>0</v>
      </c>
      <c r="F83" s="38">
        <f>Sheet2!F86</f>
        <v>0</v>
      </c>
      <c r="G83" s="38">
        <f>Sheet2!G86</f>
        <v>0</v>
      </c>
      <c r="H83" s="38">
        <f>Sheet2!H86</f>
        <v>0</v>
      </c>
      <c r="I83" s="38">
        <f>Sheet2!I86</f>
        <v>0</v>
      </c>
      <c r="J83" s="38">
        <f>Sheet2!J86</f>
        <v>0</v>
      </c>
      <c r="K83" s="38">
        <f>Sheet2!K86</f>
        <v>0</v>
      </c>
      <c r="L83" s="38">
        <f>Sheet2!L86</f>
        <v>0</v>
      </c>
      <c r="M83" s="38">
        <f>Sheet2!M86</f>
        <v>0</v>
      </c>
      <c r="N83" s="38">
        <f>Sheet2!N86</f>
        <v>0</v>
      </c>
      <c r="O83" s="38">
        <f>Sheet2!O86</f>
        <v>0</v>
      </c>
      <c r="P83" s="38">
        <f>Sheet2!P86</f>
        <v>0</v>
      </c>
      <c r="Q83" s="38">
        <f>Sheet2!Q86</f>
        <v>0</v>
      </c>
      <c r="R83" s="38">
        <f>Sheet2!R83</f>
        <v>0</v>
      </c>
    </row>
    <row r="84" spans="2:18" x14ac:dyDescent="0.35">
      <c r="B84" s="38" t="str">
        <f>Sheet2!B87</f>
        <v>Coatings</v>
      </c>
      <c r="C84" s="38">
        <f>Sheet2!C87</f>
        <v>0</v>
      </c>
      <c r="D84" s="38">
        <f>Sheet2!D87</f>
        <v>0</v>
      </c>
      <c r="E84" s="38">
        <f>Sheet2!E87</f>
        <v>0</v>
      </c>
      <c r="F84" s="38" t="str">
        <f>Sheet2!F87</f>
        <v>Ref</v>
      </c>
      <c r="G84" s="38" t="str">
        <f>Sheet2!G87</f>
        <v>FL count</v>
      </c>
      <c r="H84" s="38">
        <f>Sheet2!H87</f>
        <v>0</v>
      </c>
      <c r="I84" s="38">
        <f>Sheet2!I87</f>
        <v>0</v>
      </c>
      <c r="J84" s="38">
        <f>Sheet2!J87</f>
        <v>0</v>
      </c>
      <c r="K84" s="38">
        <f>Sheet2!K87</f>
        <v>0</v>
      </c>
      <c r="L84" s="38">
        <f>Sheet2!L87</f>
        <v>0</v>
      </c>
      <c r="M84" s="38">
        <f>Sheet2!M87</f>
        <v>0</v>
      </c>
      <c r="N84" s="38">
        <f>Sheet2!N87</f>
        <v>0</v>
      </c>
      <c r="O84" s="38">
        <f>Sheet2!O87</f>
        <v>0</v>
      </c>
      <c r="P84" s="38">
        <f>Sheet2!P87</f>
        <v>0</v>
      </c>
      <c r="Q84" s="38">
        <f>Sheet2!Q87</f>
        <v>0</v>
      </c>
      <c r="R84" s="38">
        <f>Sheet2!R84</f>
        <v>0</v>
      </c>
    </row>
    <row r="85" spans="2:18" x14ac:dyDescent="0.35">
      <c r="B85" s="38" t="str">
        <f>Sheet2!B88</f>
        <v>UV</v>
      </c>
      <c r="C85" s="38">
        <f>Sheet2!C88</f>
        <v>190</v>
      </c>
      <c r="D85" s="38">
        <f>Sheet2!D88</f>
        <v>400</v>
      </c>
      <c r="E85" s="38" t="str">
        <f>Sheet2!E88</f>
        <v/>
      </c>
      <c r="F85" s="38">
        <f>Sheet2!F88</f>
        <v>0</v>
      </c>
      <c r="G85" s="38">
        <f>Sheet2!G88</f>
        <v>11</v>
      </c>
      <c r="H85" s="38">
        <f>Sheet2!H88</f>
        <v>0</v>
      </c>
      <c r="I85" s="38">
        <f>Sheet2!I88</f>
        <v>0</v>
      </c>
      <c r="J85" s="38">
        <f>Sheet2!J88</f>
        <v>0</v>
      </c>
      <c r="K85" s="38">
        <f>Sheet2!K88</f>
        <v>0</v>
      </c>
      <c r="L85" s="38">
        <f>Sheet2!L88</f>
        <v>0</v>
      </c>
      <c r="M85" s="38">
        <f>Sheet2!M88</f>
        <v>0</v>
      </c>
      <c r="N85" s="38">
        <f>Sheet2!N88</f>
        <v>0</v>
      </c>
      <c r="O85" s="38">
        <f>Sheet2!O88</f>
        <v>0</v>
      </c>
      <c r="P85" s="38">
        <f>Sheet2!P88</f>
        <v>0</v>
      </c>
      <c r="Q85" s="38">
        <f>Sheet2!Q88</f>
        <v>0</v>
      </c>
      <c r="R85" s="38">
        <f>Sheet2!R85</f>
        <v>0</v>
      </c>
    </row>
    <row r="86" spans="2:18" x14ac:dyDescent="0.35">
      <c r="B86" s="38" t="str">
        <f>Sheet2!B89</f>
        <v>VIS</v>
      </c>
      <c r="C86" s="38">
        <f>Sheet2!C89</f>
        <v>400</v>
      </c>
      <c r="D86" s="38">
        <f>Sheet2!D89</f>
        <v>800</v>
      </c>
      <c r="E86" s="38" t="str">
        <f>Sheet2!E89</f>
        <v>VIS</v>
      </c>
      <c r="F86" s="38">
        <f>Sheet2!F89</f>
        <v>0</v>
      </c>
      <c r="G86" s="38">
        <f>Sheet2!G89</f>
        <v>10</v>
      </c>
      <c r="H86" s="38">
        <f>Sheet2!H89</f>
        <v>0</v>
      </c>
      <c r="I86" s="38">
        <f>Sheet2!I89</f>
        <v>0</v>
      </c>
      <c r="J86" s="38">
        <f>Sheet2!J89</f>
        <v>0</v>
      </c>
      <c r="K86" s="38">
        <f>Sheet2!K89</f>
        <v>0</v>
      </c>
      <c r="L86" s="38">
        <f>Sheet2!L89</f>
        <v>0</v>
      </c>
      <c r="M86" s="38">
        <f>Sheet2!M89</f>
        <v>0</v>
      </c>
      <c r="N86" s="38">
        <f>Sheet2!N89</f>
        <v>0</v>
      </c>
      <c r="O86" s="38">
        <f>Sheet2!O89</f>
        <v>0</v>
      </c>
      <c r="P86" s="38">
        <f>Sheet2!P89</f>
        <v>0</v>
      </c>
      <c r="Q86" s="38">
        <f>Sheet2!Q89</f>
        <v>0</v>
      </c>
      <c r="R86" s="38">
        <f>Sheet2!R86</f>
        <v>0</v>
      </c>
    </row>
    <row r="87" spans="2:18" x14ac:dyDescent="0.35">
      <c r="B87" s="38" t="str">
        <f>Sheet2!B90</f>
        <v>NIR</v>
      </c>
      <c r="C87" s="38">
        <f>Sheet2!C90</f>
        <v>800</v>
      </c>
      <c r="D87" s="38">
        <f>Sheet2!D90</f>
        <v>1050</v>
      </c>
      <c r="E87" s="38" t="str">
        <f>Sheet2!E90</f>
        <v/>
      </c>
      <c r="F87" s="38">
        <f>Sheet2!F90</f>
        <v>0</v>
      </c>
      <c r="G87" s="38">
        <f>Sheet2!G90</f>
        <v>10</v>
      </c>
      <c r="H87" s="38">
        <f>Sheet2!H90</f>
        <v>0</v>
      </c>
      <c r="I87" s="38">
        <f>Sheet2!I90</f>
        <v>0</v>
      </c>
      <c r="J87" s="38">
        <f>Sheet2!J90</f>
        <v>0</v>
      </c>
      <c r="K87" s="38">
        <f>Sheet2!K90</f>
        <v>0</v>
      </c>
      <c r="L87" s="38">
        <f>Sheet2!L90</f>
        <v>0</v>
      </c>
      <c r="M87" s="38">
        <f>Sheet2!M90</f>
        <v>0</v>
      </c>
      <c r="N87" s="38">
        <f>Sheet2!N90</f>
        <v>0</v>
      </c>
      <c r="O87" s="38">
        <f>Sheet2!O90</f>
        <v>0</v>
      </c>
      <c r="P87" s="38">
        <f>Sheet2!P90</f>
        <v>0</v>
      </c>
      <c r="Q87" s="38">
        <f>Sheet2!Q90</f>
        <v>0</v>
      </c>
      <c r="R87" s="38">
        <f>Sheet2!R87</f>
        <v>0</v>
      </c>
    </row>
    <row r="88" spans="2:18" x14ac:dyDescent="0.35">
      <c r="B88" s="38" t="str">
        <f>Sheet2!B91</f>
        <v>TEL</v>
      </c>
      <c r="C88" s="38">
        <f>Sheet2!C91</f>
        <v>1050</v>
      </c>
      <c r="D88" s="38">
        <f>Sheet2!D91</f>
        <v>1620</v>
      </c>
      <c r="E88" s="38" t="str">
        <f>Sheet2!E91</f>
        <v/>
      </c>
      <c r="F88" s="38">
        <f>Sheet2!F91</f>
        <v>0</v>
      </c>
      <c r="G88" s="38">
        <f>Sheet2!G91</f>
        <v>10</v>
      </c>
      <c r="H88" s="38">
        <f>Sheet2!H91</f>
        <v>0</v>
      </c>
      <c r="I88" s="38">
        <f>Sheet2!I91</f>
        <v>0</v>
      </c>
      <c r="J88" s="38">
        <f>Sheet2!J91</f>
        <v>0</v>
      </c>
      <c r="K88" s="38">
        <f>Sheet2!K91</f>
        <v>0</v>
      </c>
      <c r="L88" s="38">
        <f>Sheet2!L91</f>
        <v>0</v>
      </c>
      <c r="M88" s="38">
        <f>Sheet2!M91</f>
        <v>0</v>
      </c>
      <c r="N88" s="38">
        <f>Sheet2!N91</f>
        <v>0</v>
      </c>
      <c r="O88" s="38">
        <f>Sheet2!O91</f>
        <v>0</v>
      </c>
      <c r="P88" s="38">
        <f>Sheet2!P91</f>
        <v>0</v>
      </c>
      <c r="Q88" s="38">
        <f>Sheet2!Q91</f>
        <v>0</v>
      </c>
      <c r="R88" s="38">
        <f>Sheet2!R88</f>
        <v>0</v>
      </c>
    </row>
    <row r="89" spans="2:18" x14ac:dyDescent="0.35">
      <c r="B89" s="38" t="str">
        <f>Sheet2!B92</f>
        <v>MWIR</v>
      </c>
      <c r="C89" s="38">
        <f>Sheet2!C92</f>
        <v>1620</v>
      </c>
      <c r="D89" s="38">
        <f>Sheet2!D92</f>
        <v>8000</v>
      </c>
      <c r="E89" s="38" t="str">
        <f>Sheet2!E92</f>
        <v/>
      </c>
      <c r="F89" s="38">
        <f>Sheet2!F92</f>
        <v>0</v>
      </c>
      <c r="G89" s="38">
        <f>Sheet2!G92</f>
        <v>10</v>
      </c>
      <c r="H89" s="38">
        <f>Sheet2!H92</f>
        <v>0</v>
      </c>
      <c r="I89" s="38">
        <f>Sheet2!I92</f>
        <v>0</v>
      </c>
      <c r="J89" s="38">
        <f>Sheet2!J92</f>
        <v>0</v>
      </c>
      <c r="K89" s="38">
        <f>Sheet2!K92</f>
        <v>0</v>
      </c>
      <c r="L89" s="38">
        <f>Sheet2!L92</f>
        <v>0</v>
      </c>
      <c r="M89" s="38">
        <f>Sheet2!M92</f>
        <v>0</v>
      </c>
      <c r="N89" s="38">
        <f>Sheet2!N92</f>
        <v>0</v>
      </c>
      <c r="O89" s="38">
        <f>Sheet2!O92</f>
        <v>0</v>
      </c>
      <c r="P89" s="38">
        <f>Sheet2!P92</f>
        <v>0</v>
      </c>
      <c r="Q89" s="38">
        <f>Sheet2!Q92</f>
        <v>0</v>
      </c>
      <c r="R89" s="38">
        <f>Sheet2!R89</f>
        <v>0</v>
      </c>
    </row>
    <row r="90" spans="2:18" x14ac:dyDescent="0.35">
      <c r="B90" s="38" t="str">
        <f>Sheet2!B93</f>
        <v>FIR-G</v>
      </c>
      <c r="C90" s="38">
        <f>Sheet2!C93</f>
        <v>8000</v>
      </c>
      <c r="D90" s="38">
        <f>Sheet2!D93</f>
        <v>12001</v>
      </c>
      <c r="E90" s="38" t="str">
        <f>Sheet2!E93</f>
        <v/>
      </c>
      <c r="F90" s="38">
        <f>Sheet2!F93</f>
        <v>0</v>
      </c>
      <c r="G90" s="38">
        <f>Sheet2!G93</f>
        <v>9</v>
      </c>
      <c r="H90" s="38">
        <f>Sheet2!H93</f>
        <v>0</v>
      </c>
      <c r="I90" s="38">
        <f>Sheet2!I93</f>
        <v>0</v>
      </c>
      <c r="J90" s="38">
        <f>Sheet2!J93</f>
        <v>0</v>
      </c>
      <c r="K90" s="38">
        <f>Sheet2!K93</f>
        <v>0</v>
      </c>
      <c r="L90" s="38">
        <f>Sheet2!L93</f>
        <v>0</v>
      </c>
      <c r="M90" s="38">
        <f>Sheet2!M93</f>
        <v>0</v>
      </c>
      <c r="N90" s="38">
        <f>Sheet2!N93</f>
        <v>0</v>
      </c>
      <c r="O90" s="38">
        <f>Sheet2!O93</f>
        <v>0</v>
      </c>
      <c r="P90" s="38">
        <f>Sheet2!P93</f>
        <v>0</v>
      </c>
      <c r="Q90" s="38">
        <f>Sheet2!Q93</f>
        <v>0</v>
      </c>
      <c r="R90" s="38">
        <f>Sheet2!R90</f>
        <v>0</v>
      </c>
    </row>
    <row r="91" spans="2:18" x14ac:dyDescent="0.35">
      <c r="B91" s="38" t="str">
        <f>Sheet2!B94</f>
        <v>CUSTOM</v>
      </c>
      <c r="C91" s="38">
        <f>Sheet2!C94</f>
        <v>0</v>
      </c>
      <c r="D91" s="38">
        <f>Sheet2!D94</f>
        <v>0</v>
      </c>
      <c r="E91" s="38" t="str">
        <f>Sheet2!E94</f>
        <v/>
      </c>
      <c r="F91" s="38">
        <f>Sheet2!F94</f>
        <v>0</v>
      </c>
      <c r="G91" s="38">
        <f>Sheet2!G94</f>
        <v>1</v>
      </c>
      <c r="H91" s="38">
        <f>Sheet2!H94</f>
        <v>0</v>
      </c>
      <c r="I91" s="38">
        <f>Sheet2!I94</f>
        <v>0</v>
      </c>
      <c r="J91" s="38">
        <f>Sheet2!J94</f>
        <v>0</v>
      </c>
      <c r="K91" s="38">
        <f>Sheet2!K94</f>
        <v>0</v>
      </c>
      <c r="L91" s="38">
        <f>Sheet2!L94</f>
        <v>0</v>
      </c>
      <c r="M91" s="38">
        <f>Sheet2!M94</f>
        <v>0</v>
      </c>
      <c r="N91" s="38">
        <f>Sheet2!N94</f>
        <v>0</v>
      </c>
      <c r="O91" s="38">
        <f>Sheet2!O94</f>
        <v>0</v>
      </c>
      <c r="P91" s="38">
        <f>Sheet2!P94</f>
        <v>0</v>
      </c>
      <c r="Q91" s="38">
        <f>Sheet2!Q94</f>
        <v>0</v>
      </c>
      <c r="R91" s="38">
        <f>Sheet2!R91</f>
        <v>0</v>
      </c>
    </row>
    <row r="92" spans="2:18" x14ac:dyDescent="0.35">
      <c r="B92" s="38">
        <f>Sheet2!B95</f>
        <v>0</v>
      </c>
      <c r="C92" s="38">
        <f>Sheet2!C95</f>
        <v>0</v>
      </c>
      <c r="D92" s="38">
        <f>Sheet2!D95</f>
        <v>0</v>
      </c>
      <c r="E92" s="38" t="str">
        <f>Sheet2!E95</f>
        <v>VIS</v>
      </c>
      <c r="F92" s="38">
        <f>Sheet2!F95</f>
        <v>1</v>
      </c>
      <c r="G92" s="38">
        <f>Sheet2!G95</f>
        <v>10</v>
      </c>
      <c r="H92" s="38">
        <f>Sheet2!H95</f>
        <v>0</v>
      </c>
      <c r="I92" s="38">
        <f>Sheet2!I95</f>
        <v>0</v>
      </c>
      <c r="J92" s="38">
        <f>Sheet2!J95</f>
        <v>0</v>
      </c>
      <c r="K92" s="38">
        <f>Sheet2!K95</f>
        <v>0</v>
      </c>
      <c r="L92" s="38">
        <f>Sheet2!L95</f>
        <v>0</v>
      </c>
      <c r="M92" s="38">
        <f>Sheet2!M95</f>
        <v>0</v>
      </c>
      <c r="N92" s="38">
        <f>Sheet2!N95</f>
        <v>0</v>
      </c>
      <c r="O92" s="38">
        <f>Sheet2!O95</f>
        <v>0</v>
      </c>
      <c r="P92" s="38">
        <f>Sheet2!P95</f>
        <v>0</v>
      </c>
      <c r="Q92" s="38">
        <f>Sheet2!Q95</f>
        <v>0</v>
      </c>
      <c r="R92" s="38">
        <f>Sheet2!R92</f>
        <v>0</v>
      </c>
    </row>
    <row r="93" spans="2:18" x14ac:dyDescent="0.35">
      <c r="B93" s="38">
        <f>Sheet2!B96</f>
        <v>0</v>
      </c>
      <c r="C93" s="38">
        <f>Sheet2!C96</f>
        <v>0</v>
      </c>
      <c r="D93" s="38">
        <f>Sheet2!D96</f>
        <v>0</v>
      </c>
      <c r="E93" s="38">
        <f>Sheet2!E96</f>
        <v>0</v>
      </c>
      <c r="F93" s="38">
        <f>Sheet2!F96</f>
        <v>1</v>
      </c>
      <c r="G93" s="38">
        <f>Sheet2!G96</f>
        <v>0</v>
      </c>
      <c r="H93" s="38">
        <f>Sheet2!H96</f>
        <v>0</v>
      </c>
      <c r="I93" s="38">
        <f>Sheet2!I96</f>
        <v>0</v>
      </c>
      <c r="J93" s="38">
        <f>Sheet2!J96</f>
        <v>0</v>
      </c>
      <c r="K93" s="38">
        <f>Sheet2!K96</f>
        <v>0</v>
      </c>
      <c r="L93" s="38">
        <f>Sheet2!L96</f>
        <v>0</v>
      </c>
      <c r="M93" s="38">
        <f>Sheet2!M96</f>
        <v>0</v>
      </c>
      <c r="N93" s="38">
        <f>Sheet2!N96</f>
        <v>0</v>
      </c>
      <c r="O93" s="38">
        <f>Sheet2!O96</f>
        <v>0</v>
      </c>
      <c r="P93" s="38">
        <f>Sheet2!P96</f>
        <v>0</v>
      </c>
      <c r="Q93" s="38">
        <f>Sheet2!Q96</f>
        <v>0</v>
      </c>
      <c r="R93" s="38">
        <f>Sheet2!R93</f>
        <v>0</v>
      </c>
    </row>
    <row r="94" spans="2:18" x14ac:dyDescent="0.35">
      <c r="B94" s="38">
        <f>Sheet2!B97</f>
        <v>0</v>
      </c>
      <c r="C94" s="38">
        <f>Sheet2!C97</f>
        <v>0</v>
      </c>
      <c r="D94" s="38">
        <f>Sheet2!D97</f>
        <v>0</v>
      </c>
      <c r="E94" s="38">
        <f>Sheet2!E97</f>
        <v>0</v>
      </c>
      <c r="F94" s="38">
        <f>Sheet2!F97</f>
        <v>0</v>
      </c>
      <c r="G94" s="38" t="str">
        <f>Sheet2!G97</f>
        <v>FL valid?</v>
      </c>
      <c r="H94" s="38" t="str">
        <f>Sheet2!H97</f>
        <v>FLc valid?</v>
      </c>
      <c r="I94" s="38">
        <f>Sheet2!I97</f>
        <v>0</v>
      </c>
      <c r="J94" s="38">
        <f>Sheet2!J97</f>
        <v>0</v>
      </c>
      <c r="K94" s="38">
        <f>Sheet2!K97</f>
        <v>0</v>
      </c>
      <c r="L94" s="38">
        <f>Sheet2!L97</f>
        <v>0</v>
      </c>
      <c r="M94" s="38">
        <f>Sheet2!M97</f>
        <v>0</v>
      </c>
      <c r="N94" s="38">
        <f>Sheet2!N97</f>
        <v>0</v>
      </c>
      <c r="O94" s="38">
        <f>Sheet2!O97</f>
        <v>0</v>
      </c>
      <c r="P94" s="38">
        <f>Sheet2!P97</f>
        <v>0</v>
      </c>
      <c r="Q94" s="38">
        <f>Sheet2!Q97</f>
        <v>0</v>
      </c>
      <c r="R94" s="38">
        <f>Sheet2!R94</f>
        <v>0</v>
      </c>
    </row>
    <row r="95" spans="2:18" x14ac:dyDescent="0.35">
      <c r="B95" s="38">
        <f>Sheet2!B98</f>
        <v>0</v>
      </c>
      <c r="C95" s="38">
        <f>Sheet2!C98</f>
        <v>0</v>
      </c>
      <c r="D95" s="38">
        <f>Sheet2!D98</f>
        <v>0</v>
      </c>
      <c r="E95" s="38">
        <f>Sheet2!E98</f>
        <v>0</v>
      </c>
      <c r="F95" s="38">
        <f>Sheet2!F98</f>
        <v>0</v>
      </c>
      <c r="G95" s="38">
        <f ca="1">Sheet2!G98</f>
        <v>5</v>
      </c>
      <c r="H95" s="38" t="e">
        <f ca="1">Sheet2!H98</f>
        <v>#N/A</v>
      </c>
      <c r="I95" s="38">
        <f>Sheet2!I98</f>
        <v>0</v>
      </c>
      <c r="J95" s="38">
        <f>Sheet2!J98</f>
        <v>0</v>
      </c>
      <c r="K95" s="38">
        <f>Sheet2!K98</f>
        <v>0</v>
      </c>
      <c r="L95" s="38">
        <f>Sheet2!L98</f>
        <v>0</v>
      </c>
      <c r="M95" s="38">
        <f>Sheet2!M98</f>
        <v>0</v>
      </c>
      <c r="N95" s="38">
        <f>Sheet2!N98</f>
        <v>0</v>
      </c>
      <c r="O95" s="38">
        <f>Sheet2!O98</f>
        <v>0</v>
      </c>
      <c r="P95" s="38">
        <f>Sheet2!P98</f>
        <v>0</v>
      </c>
      <c r="Q95" s="38">
        <f>Sheet2!Q98</f>
        <v>0</v>
      </c>
      <c r="R95" s="38">
        <f>Sheet2!R95</f>
        <v>0</v>
      </c>
    </row>
    <row r="96" spans="2:18" x14ac:dyDescent="0.35">
      <c r="R96" s="38">
        <f>Sheet2!R96</f>
        <v>0</v>
      </c>
    </row>
    <row r="97" spans="18:18" x14ac:dyDescent="0.35">
      <c r="R97" s="38">
        <f>Sheet2!R97</f>
        <v>0</v>
      </c>
    </row>
    <row r="98" spans="18:18" x14ac:dyDescent="0.35">
      <c r="R98" s="38">
        <f>Sheet2!R98</f>
        <v>0</v>
      </c>
    </row>
  </sheetData>
  <sheetProtection sheet="1" objects="1" scenarios="1"/>
  <mergeCells count="8">
    <mergeCell ref="F1:H1"/>
    <mergeCell ref="F2:H2"/>
    <mergeCell ref="B16:B19"/>
    <mergeCell ref="B20:D21"/>
    <mergeCell ref="B22:D25"/>
    <mergeCell ref="C16:D19"/>
    <mergeCell ref="B2:D2"/>
    <mergeCell ref="B1:D1"/>
  </mergeCells>
  <phoneticPr fontId="14" type="noConversion"/>
  <conditionalFormatting sqref="F7:H7">
    <cfRule type="expression" dxfId="13" priority="13" stopIfTrue="1">
      <formula>$G$7&gt;=$G$13</formula>
    </cfRule>
    <cfRule type="expression" dxfId="12" priority="15">
      <formula>$G$7&lt;$G$13</formula>
    </cfRule>
  </conditionalFormatting>
  <conditionalFormatting sqref="F17:H17">
    <cfRule type="expression" dxfId="11" priority="14">
      <formula>$G$17&lt;2.5</formula>
    </cfRule>
  </conditionalFormatting>
  <conditionalFormatting sqref="B11:D13">
    <cfRule type="expression" dxfId="10" priority="3">
      <formula>$C$10="No"</formula>
    </cfRule>
  </conditionalFormatting>
  <conditionalFormatting sqref="B14:D14">
    <cfRule type="expression" dxfId="9" priority="11">
      <formula>$C$10="Yes"</formula>
    </cfRule>
  </conditionalFormatting>
  <conditionalFormatting sqref="F13:H13">
    <cfRule type="expression" dxfId="8" priority="5">
      <formula>$G$7&lt;$G$13</formula>
    </cfRule>
  </conditionalFormatting>
  <conditionalFormatting sqref="C11">
    <cfRule type="expression" dxfId="7" priority="4">
      <formula>$C$10="No"</formula>
    </cfRule>
  </conditionalFormatting>
  <conditionalFormatting sqref="B13:D13">
    <cfRule type="expression" dxfId="6" priority="12">
      <formula>NOT($C$11="Custom")</formula>
    </cfRule>
  </conditionalFormatting>
  <conditionalFormatting sqref="F12:H12">
    <cfRule type="expression" dxfId="5" priority="2">
      <formula>$G$12&gt;25</formula>
    </cfRule>
  </conditionalFormatting>
  <conditionalFormatting sqref="F15:H15">
    <cfRule type="expression" dxfId="4" priority="9">
      <formula>$S$5&gt;$S$6</formula>
    </cfRule>
  </conditionalFormatting>
  <conditionalFormatting sqref="F16:H16">
    <cfRule type="expression" dxfId="3" priority="8">
      <formula>$S$3&lt;$S$4</formula>
    </cfRule>
  </conditionalFormatting>
  <conditionalFormatting sqref="B20:D21">
    <cfRule type="expression" dxfId="2" priority="6">
      <formula>$B$22=CONCATENATE($S$2,$S$1)</formula>
    </cfRule>
    <cfRule type="expression" dxfId="1" priority="7">
      <formula>NOT($B$22=CONCATENATE($S$2,$S$1))</formula>
    </cfRule>
  </conditionalFormatting>
  <conditionalFormatting sqref="B22:D25">
    <cfRule type="expression" dxfId="0" priority="1">
      <formula>NOT($S$1="")</formula>
    </cfRule>
  </conditionalFormatting>
  <dataValidations count="6">
    <dataValidation type="custom" allowBlank="1" showInputMessage="1" showErrorMessage="1" sqref="C4" xr:uid="{D693D23E-7C27-485E-837D-923863E8E8F5}">
      <formula1>C4&gt;=1</formula1>
    </dataValidation>
    <dataValidation type="list" allowBlank="1" showInputMessage="1" showErrorMessage="1" sqref="C10" xr:uid="{2DFB37C6-7457-4CBE-9788-1111D525D398}">
      <formula1>$S$21:$S$22</formula1>
    </dataValidation>
    <dataValidation type="list" allowBlank="1" showInputMessage="1" showErrorMessage="1" sqref="C8" xr:uid="{D3989171-81FE-42C1-A91F-5EBF157ED1A1}">
      <formula1>$S$19:$S$20</formula1>
    </dataValidation>
    <dataValidation type="list" allowBlank="1" showInputMessage="1" showErrorMessage="1" sqref="H8 H3" xr:uid="{6D634C8C-0015-4ACF-B73F-39595431053C}">
      <formula1>$S$26:$S$28</formula1>
    </dataValidation>
    <dataValidation type="list" allowBlank="1" showInputMessage="1" showErrorMessage="1" sqref="C11" xr:uid="{CF2EAA57-9B2A-4A5D-A4FF-1187FEF07EEA}">
      <formula1>OFFSET($E$70,0,$F$93,$G$92,1)</formula1>
    </dataValidation>
    <dataValidation type="list" allowBlank="1" showInputMessage="1" showErrorMessage="1" sqref="C7" xr:uid="{A2968BD0-0C07-4DD6-9AA2-3428DD56C6D5}">
      <formula1>$S$7:$S$18</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304E9-EE6D-4795-BE08-B62E19A8AB52}">
  <sheetPr codeName="Sheet2"/>
  <dimension ref="A1:AI98"/>
  <sheetViews>
    <sheetView workbookViewId="0">
      <selection activeCell="AG12" sqref="AG12"/>
    </sheetView>
  </sheetViews>
  <sheetFormatPr defaultRowHeight="14.5" x14ac:dyDescent="0.35"/>
  <cols>
    <col min="1" max="1" width="10.81640625" bestFit="1" customWidth="1"/>
    <col min="2" max="2" width="36.1796875" customWidth="1"/>
    <col min="3" max="3" width="11.81640625" bestFit="1" customWidth="1"/>
    <col min="4" max="4" width="6" bestFit="1" customWidth="1"/>
    <col min="5" max="5" width="11.81640625" bestFit="1" customWidth="1"/>
    <col min="6" max="6" width="5.6328125" bestFit="1" customWidth="1"/>
    <col min="11" max="11" width="17.81640625" bestFit="1" customWidth="1"/>
    <col min="12" max="12" width="16.7265625" bestFit="1" customWidth="1"/>
    <col min="13" max="13" width="12.36328125" bestFit="1" customWidth="1"/>
    <col min="14" max="14" width="8.54296875" bestFit="1" customWidth="1"/>
    <col min="15" max="15" width="9" bestFit="1" customWidth="1"/>
    <col min="16" max="16" width="7.36328125" bestFit="1" customWidth="1"/>
    <col min="17" max="17" width="26" bestFit="1" customWidth="1"/>
    <col min="19" max="19" width="12.54296875" bestFit="1" customWidth="1"/>
    <col min="20" max="20" width="17.08984375" bestFit="1" customWidth="1"/>
    <col min="21" max="21" width="8.54296875" bestFit="1" customWidth="1"/>
    <col min="22" max="22" width="7" bestFit="1" customWidth="1"/>
    <col min="23" max="23" width="6.36328125" bestFit="1" customWidth="1"/>
    <col min="25" max="25" width="6.54296875" bestFit="1" customWidth="1"/>
    <col min="28" max="28" width="22.90625" bestFit="1" customWidth="1"/>
    <col min="29" max="29" width="9.36328125" bestFit="1" customWidth="1"/>
    <col min="30" max="30" width="8.54296875" bestFit="1" customWidth="1"/>
    <col min="31" max="31" width="6.90625" bestFit="1" customWidth="1"/>
  </cols>
  <sheetData>
    <row r="1" spans="1:35" x14ac:dyDescent="0.35">
      <c r="J1" t="s">
        <v>22</v>
      </c>
      <c r="K1" t="s">
        <v>23</v>
      </c>
      <c r="L1" t="s">
        <v>24</v>
      </c>
      <c r="M1" t="s">
        <v>27</v>
      </c>
      <c r="N1" t="s">
        <v>25</v>
      </c>
      <c r="O1" s="89" t="s">
        <v>26</v>
      </c>
      <c r="P1" s="89"/>
      <c r="Q1" t="s">
        <v>31</v>
      </c>
      <c r="S1" t="s">
        <v>30</v>
      </c>
      <c r="T1" t="s">
        <v>29</v>
      </c>
      <c r="U1" t="s">
        <v>25</v>
      </c>
      <c r="V1" s="89" t="s">
        <v>26</v>
      </c>
      <c r="W1" s="89"/>
      <c r="Y1" t="s">
        <v>37</v>
      </c>
      <c r="Z1" t="s">
        <v>38</v>
      </c>
      <c r="AB1" t="s">
        <v>41</v>
      </c>
      <c r="AC1" t="s">
        <v>39</v>
      </c>
      <c r="AD1" t="s">
        <v>25</v>
      </c>
      <c r="AE1" t="s">
        <v>40</v>
      </c>
      <c r="AG1" s="90" t="s">
        <v>125</v>
      </c>
      <c r="AH1" s="91"/>
      <c r="AI1" s="91"/>
    </row>
    <row r="2" spans="1:35" x14ac:dyDescent="0.35">
      <c r="B2" t="s">
        <v>34</v>
      </c>
      <c r="J2" s="1">
        <v>0</v>
      </c>
      <c r="K2" s="8">
        <f>-'M2DU Measurement'!G9</f>
        <v>-149.93716739739179</v>
      </c>
      <c r="L2" s="9">
        <f t="shared" ref="L2:L33" si="0">K2-$K$2</f>
        <v>0</v>
      </c>
      <c r="M2" s="9">
        <f>L2-'M2DU Measurement'!$G$23</f>
        <v>-124.93716739739179</v>
      </c>
      <c r="N2" s="30">
        <f>'M2DU Measurement'!$G$7*(SQRT(1+((-'M2DU Measurement'!$G$9+L2)^2/'M2DU Measurement'!$G$10^2)))</f>
        <v>2000.5585120340713</v>
      </c>
      <c r="O2" s="8">
        <f>-N2/2</f>
        <v>-1000.2792560170357</v>
      </c>
      <c r="P2" s="8">
        <f t="shared" ref="P2:P33" si="1">N2/2</f>
        <v>1000.2792560170357</v>
      </c>
      <c r="Q2" s="1">
        <f>'M2DU Measurement'!G7/2</f>
        <v>35.449288457792925</v>
      </c>
      <c r="S2" s="9">
        <f>J2*'M2DU Measurement'!$C$8/60</f>
        <v>0</v>
      </c>
      <c r="T2" s="9">
        <f t="shared" ref="T2:T33" si="2">-$M$2+S2</f>
        <v>124.93716739739179</v>
      </c>
      <c r="U2" s="9">
        <f>'M2DU Measurement'!$G$7*(SQRT(1+((-'M2DU Measurement'!$G$9+T2)^2/'M2DU Measurement'!$G$10^2)))</f>
        <v>340.81261084231483</v>
      </c>
      <c r="V2" s="9">
        <f>-U2/2</f>
        <v>-170.40630542115741</v>
      </c>
      <c r="W2" s="9">
        <f>U2/2</f>
        <v>170.40630542115741</v>
      </c>
      <c r="Y2" s="9">
        <f>'M2DU Measurement'!$G$7*(SQRT(1+((-'M2DU Measurement'!$G$9+T2)^2/$C$10^2)))</f>
        <v>158.53403749124735</v>
      </c>
      <c r="Z2">
        <f t="shared" ref="Z2:Z33" si="3">$D$67</f>
        <v>55</v>
      </c>
      <c r="AB2" s="25">
        <f>IF(AB68&lt;0,0,AB68)</f>
        <v>9.048933918398518</v>
      </c>
      <c r="AC2" s="9">
        <f t="shared" ref="AC2:AC33" si="4">-$M$2+AB2</f>
        <v>133.98610131579031</v>
      </c>
      <c r="AD2" s="9">
        <f>'M2DU Measurement'!$G$7*(SQRT(1+((-'M2DU Measurement'!$G$9+AC2)^2/'M2DU Measurement'!$G$10^2)))</f>
        <v>224.20098591788684</v>
      </c>
      <c r="AE2" s="9">
        <f>'M2DU Measurement'!$G$7*(SQRT(1+((-'M2DU Measurement'!$G$9+AC2)^2/$C$10^2)))</f>
        <v>114.94305172284692</v>
      </c>
      <c r="AG2" s="91"/>
      <c r="AH2" s="91"/>
      <c r="AI2" s="91"/>
    </row>
    <row r="3" spans="1:35" x14ac:dyDescent="0.35">
      <c r="B3" t="s">
        <v>35</v>
      </c>
      <c r="J3" s="1">
        <v>1</v>
      </c>
      <c r="K3" s="8">
        <f>$K$2+('M2DU Measurement'!$C$8+'M2DU Measurement'!$G$23)*J3/60</f>
        <v>-147.02154794076858</v>
      </c>
      <c r="L3" s="9">
        <f t="shared" si="0"/>
        <v>2.9156194566232045</v>
      </c>
      <c r="M3" s="9">
        <f>L3-'M2DU Measurement'!$G$23</f>
        <v>-122.02154794076858</v>
      </c>
      <c r="N3" s="30">
        <f>'M2DU Measurement'!$G$7*(SQRT(1+((-'M2DU Measurement'!$G$9+L3)^2/'M2DU Measurement'!$G$10^2)))</f>
        <v>1961.7057773611484</v>
      </c>
      <c r="O3" s="8">
        <f t="shared" ref="O3:O33" si="5">-N3/2</f>
        <v>-980.85288868057421</v>
      </c>
      <c r="P3" s="8">
        <f t="shared" si="1"/>
        <v>980.85288868057421</v>
      </c>
      <c r="Q3" s="1"/>
      <c r="S3" s="9">
        <f>J3*'M2DU Measurement'!$C$8/60</f>
        <v>0.83333333333333337</v>
      </c>
      <c r="T3" s="9">
        <f t="shared" si="2"/>
        <v>125.77050073072512</v>
      </c>
      <c r="U3" s="9">
        <f>'M2DU Measurement'!$G$7*(SQRT(1+((-'M2DU Measurement'!$G$9+T3)^2/'M2DU Measurement'!$G$10^2)))</f>
        <v>329.95191756730952</v>
      </c>
      <c r="V3" s="9">
        <f t="shared" ref="V3:V62" si="6">-U3/2</f>
        <v>-164.97595878365476</v>
      </c>
      <c r="W3" s="9">
        <f t="shared" ref="W3:W62" si="7">U3/2</f>
        <v>164.97595878365476</v>
      </c>
      <c r="Y3" s="9">
        <f>'M2DU Measurement'!$G$7*(SQRT(1+((-'M2DU Measurement'!$G$9+T3)^2/$C$10^2)))</f>
        <v>154.32094047329474</v>
      </c>
      <c r="Z3">
        <f t="shared" si="3"/>
        <v>55</v>
      </c>
      <c r="AB3" s="25">
        <f t="shared" ref="AB3:AB34" si="8">$AB$2+($AB$62-$AB$2)/60*J3</f>
        <v>9.5806361211185678</v>
      </c>
      <c r="AC3" s="9">
        <f t="shared" si="4"/>
        <v>134.51780351851036</v>
      </c>
      <c r="AD3" s="9">
        <f>'M2DU Measurement'!$G$7*(SQRT(1+((-'M2DU Measurement'!$G$9+AC3)^2/'M2DU Measurement'!$G$10^2)))</f>
        <v>217.48651278515146</v>
      </c>
      <c r="AE3" s="9">
        <f>'M2DU Measurement'!$G$7*(SQRT(1+((-'M2DU Measurement'!$G$9+AC3)^2/$C$10^2)))</f>
        <v>112.58469457116033</v>
      </c>
      <c r="AG3" s="91"/>
      <c r="AH3" s="91"/>
      <c r="AI3" s="91"/>
    </row>
    <row r="4" spans="1:35" x14ac:dyDescent="0.35">
      <c r="J4" s="1">
        <v>2</v>
      </c>
      <c r="K4" s="8">
        <f>$K$2+('M2DU Measurement'!$C$8+'M2DU Measurement'!$G$23)*J4/60</f>
        <v>-144.10592848414541</v>
      </c>
      <c r="L4" s="9">
        <f t="shared" si="0"/>
        <v>5.8312389132463807</v>
      </c>
      <c r="M4" s="9">
        <f>L4-'M2DU Measurement'!$G$23</f>
        <v>-119.10592848414541</v>
      </c>
      <c r="N4" s="30">
        <f>'M2DU Measurement'!$G$7*(SQRT(1+((-'M2DU Measurement'!$G$9+L4)^2/'M2DU Measurement'!$G$10^2)))</f>
        <v>1922.8540494890206</v>
      </c>
      <c r="O4" s="8">
        <f t="shared" si="5"/>
        <v>-961.42702474451028</v>
      </c>
      <c r="P4" s="8">
        <f t="shared" si="1"/>
        <v>961.42702474451028</v>
      </c>
      <c r="Q4" s="1"/>
      <c r="S4" s="9">
        <f>J4*'M2DU Measurement'!$C$8/60</f>
        <v>1.6666666666666667</v>
      </c>
      <c r="T4" s="9">
        <f t="shared" si="2"/>
        <v>126.60383406405846</v>
      </c>
      <c r="U4" s="9">
        <f>'M2DU Measurement'!$G$7*(SQRT(1+((-'M2DU Measurement'!$G$9+T4)^2/'M2DU Measurement'!$G$10^2)))</f>
        <v>319.10852098407872</v>
      </c>
      <c r="V4" s="9">
        <f t="shared" si="6"/>
        <v>-159.55426049203936</v>
      </c>
      <c r="W4" s="9">
        <f t="shared" si="7"/>
        <v>159.55426049203936</v>
      </c>
      <c r="Y4" s="9">
        <f>'M2DU Measurement'!$G$7*(SQRT(1+((-'M2DU Measurement'!$G$9+T4)^2/$C$10^2)))</f>
        <v>150.13842031839431</v>
      </c>
      <c r="Z4">
        <f t="shared" si="3"/>
        <v>55</v>
      </c>
      <c r="AB4" s="25">
        <f t="shared" si="8"/>
        <v>10.112338323838618</v>
      </c>
      <c r="AC4" s="9">
        <f t="shared" si="4"/>
        <v>135.04950572123042</v>
      </c>
      <c r="AD4" s="9">
        <f>'M2DU Measurement'!$G$7*(SQRT(1+((-'M2DU Measurement'!$G$9+AC4)^2/'M2DU Measurement'!$G$10^2)))</f>
        <v>210.79662370282961</v>
      </c>
      <c r="AE4" s="9">
        <f>'M2DU Measurement'!$G$7*(SQRT(1+((-'M2DU Measurement'!$G$9+AC4)^2/$C$10^2)))</f>
        <v>110.25838431945549</v>
      </c>
      <c r="AG4" s="91"/>
      <c r="AH4" s="91"/>
      <c r="AI4" s="91"/>
    </row>
    <row r="5" spans="1:35" x14ac:dyDescent="0.35">
      <c r="J5" s="1">
        <v>3</v>
      </c>
      <c r="K5" s="8">
        <f>$K$2+('M2DU Measurement'!$C$8+'M2DU Measurement'!$G$23)*J5/60</f>
        <v>-141.1903090275222</v>
      </c>
      <c r="L5" s="9">
        <f t="shared" si="0"/>
        <v>8.7468583698695852</v>
      </c>
      <c r="M5" s="9">
        <f>L5-'M2DU Measurement'!$G$23</f>
        <v>-116.1903090275222</v>
      </c>
      <c r="N5" s="30">
        <f>'M2DU Measurement'!$G$7*(SQRT(1+((-'M2DU Measurement'!$G$9+L5)^2/'M2DU Measurement'!$G$10^2)))</f>
        <v>1884.0033907041209</v>
      </c>
      <c r="O5" s="8">
        <f t="shared" si="5"/>
        <v>-942.00169535206044</v>
      </c>
      <c r="P5" s="8">
        <f t="shared" si="1"/>
        <v>942.00169535206044</v>
      </c>
      <c r="Q5" s="1"/>
      <c r="S5" s="9">
        <f>J5*'M2DU Measurement'!$C$8/60</f>
        <v>2.5</v>
      </c>
      <c r="T5" s="9">
        <f t="shared" si="2"/>
        <v>127.43716739739179</v>
      </c>
      <c r="U5" s="9">
        <f>'M2DU Measurement'!$G$7*(SQRT(1+((-'M2DU Measurement'!$G$9+T5)^2/'M2DU Measurement'!$G$10^2)))</f>
        <v>308.28424624696629</v>
      </c>
      <c r="V5" s="9">
        <f t="shared" si="6"/>
        <v>-154.14212312348315</v>
      </c>
      <c r="W5" s="9">
        <f t="shared" si="7"/>
        <v>154.14212312348315</v>
      </c>
      <c r="Y5" s="9">
        <f>'M2DU Measurement'!$G$7*(SQRT(1+((-'M2DU Measurement'!$G$9+T5)^2/$C$10^2)))</f>
        <v>145.98910508903816</v>
      </c>
      <c r="Z5">
        <f t="shared" si="3"/>
        <v>55</v>
      </c>
      <c r="AB5" s="25">
        <f t="shared" si="8"/>
        <v>10.644040526558666</v>
      </c>
      <c r="AC5" s="9">
        <f t="shared" si="4"/>
        <v>135.58120792395044</v>
      </c>
      <c r="AD5" s="9">
        <f>'M2DU Measurement'!$G$7*(SQRT(1+((-'M2DU Measurement'!$G$9+AC5)^2/'M2DU Measurement'!$G$10^2)))</f>
        <v>204.13373569734148</v>
      </c>
      <c r="AE5" s="9">
        <f>'M2DU Measurement'!$G$7*(SQRT(1+((-'M2DU Measurement'!$G$9+AC5)^2/$C$10^2)))</f>
        <v>107.96619249805454</v>
      </c>
      <c r="AG5" s="91"/>
      <c r="AH5" s="91"/>
      <c r="AI5" s="91"/>
    </row>
    <row r="6" spans="1:35" x14ac:dyDescent="0.35">
      <c r="B6" t="str">
        <f>IF('M2DU Measurement'!$C$10="Yes","Lens Location","Input Plane")</f>
        <v>Lens Location</v>
      </c>
      <c r="J6" s="1">
        <v>4</v>
      </c>
      <c r="K6" s="8">
        <f>$K$2+('M2DU Measurement'!$C$8+'M2DU Measurement'!$G$23)*J6/60</f>
        <v>-138.274689570899</v>
      </c>
      <c r="L6" s="9">
        <f t="shared" si="0"/>
        <v>11.66247782649279</v>
      </c>
      <c r="M6" s="9">
        <f>L6-'M2DU Measurement'!$G$23</f>
        <v>-113.274689570899</v>
      </c>
      <c r="N6" s="30">
        <f>'M2DU Measurement'!$G$7*(SQRT(1+((-'M2DU Measurement'!$G$9+L6)^2/'M2DU Measurement'!$G$10^2)))</f>
        <v>1845.1538685369869</v>
      </c>
      <c r="O6" s="8">
        <f t="shared" si="5"/>
        <v>-922.57693426849346</v>
      </c>
      <c r="P6" s="8">
        <f t="shared" si="1"/>
        <v>922.57693426849346</v>
      </c>
      <c r="Q6" s="1"/>
      <c r="S6" s="9">
        <f>J6*'M2DU Measurement'!$C$8/60</f>
        <v>3.3333333333333335</v>
      </c>
      <c r="T6" s="9">
        <f t="shared" si="2"/>
        <v>128.27050073072513</v>
      </c>
      <c r="U6" s="9">
        <f>'M2DU Measurement'!$G$7*(SQRT(1+((-'M2DU Measurement'!$G$9+T6)^2/'M2DU Measurement'!$G$10^2)))</f>
        <v>297.48118068978113</v>
      </c>
      <c r="V6" s="9">
        <f t="shared" si="6"/>
        <v>-148.74059034489056</v>
      </c>
      <c r="W6" s="9">
        <f t="shared" si="7"/>
        <v>148.74059034489056</v>
      </c>
      <c r="Y6" s="9">
        <f>'M2DU Measurement'!$G$7*(SQRT(1+((-'M2DU Measurement'!$G$9+T6)^2/$C$10^2)))</f>
        <v>141.8759081576161</v>
      </c>
      <c r="Z6">
        <f t="shared" si="3"/>
        <v>55</v>
      </c>
      <c r="AB6" s="25">
        <f t="shared" si="8"/>
        <v>11.175742729278715</v>
      </c>
      <c r="AC6" s="9">
        <f t="shared" si="4"/>
        <v>136.1129101266705</v>
      </c>
      <c r="AD6" s="9">
        <f>'M2DU Measurement'!$G$7*(SQRT(1+((-'M2DU Measurement'!$G$9+AC6)^2/'M2DU Measurement'!$G$10^2)))</f>
        <v>197.50058151601669</v>
      </c>
      <c r="AE6" s="9">
        <f>'M2DU Measurement'!$G$7*(SQRT(1+((-'M2DU Measurement'!$G$9+AC6)^2/$C$10^2)))</f>
        <v>105.71033857221377</v>
      </c>
      <c r="AG6" s="91"/>
      <c r="AH6" s="91"/>
      <c r="AI6" s="91"/>
    </row>
    <row r="7" spans="1:35" x14ac:dyDescent="0.35">
      <c r="B7" t="str">
        <f>IF('M2DU Measurement'!$C$10="Yes","Simulated Beam Caustic After Lens","Simulated Beam Caustic After Input Plane")</f>
        <v>Simulated Beam Caustic After Lens</v>
      </c>
      <c r="J7" s="1">
        <v>5</v>
      </c>
      <c r="K7" s="8">
        <f>$K$2+('M2DU Measurement'!$C$8+'M2DU Measurement'!$G$23)*J7/60</f>
        <v>-135.3590701142758</v>
      </c>
      <c r="L7" s="9">
        <f t="shared" si="0"/>
        <v>14.578097283115994</v>
      </c>
      <c r="M7" s="9">
        <f>L7-'M2DU Measurement'!$G$23</f>
        <v>-110.3590701142758</v>
      </c>
      <c r="N7" s="30">
        <f>'M2DU Measurement'!$G$7*(SQRT(1+((-'M2DU Measurement'!$G$9+L7)^2/'M2DU Measurement'!$G$10^2)))</f>
        <v>1806.3055563258051</v>
      </c>
      <c r="O7" s="8">
        <f t="shared" si="5"/>
        <v>-903.15277816290256</v>
      </c>
      <c r="P7" s="8">
        <f t="shared" si="1"/>
        <v>903.15277816290256</v>
      </c>
      <c r="Q7" s="1"/>
      <c r="S7" s="9">
        <f>J7*'M2DU Measurement'!$C$8/60</f>
        <v>4.166666666666667</v>
      </c>
      <c r="T7" s="9">
        <f t="shared" si="2"/>
        <v>129.10383406405845</v>
      </c>
      <c r="U7" s="9">
        <f>'M2DU Measurement'!$G$7*(SQRT(1+((-'M2DU Measurement'!$G$9+T7)^2/'M2DU Measurement'!$G$10^2)))</f>
        <v>286.70172184035562</v>
      </c>
      <c r="V7" s="9">
        <f t="shared" si="6"/>
        <v>-143.35086092017781</v>
      </c>
      <c r="W7" s="9">
        <f t="shared" si="7"/>
        <v>143.35086092017781</v>
      </c>
      <c r="Y7" s="9">
        <f>'M2DU Measurement'!$G$7*(SQRT(1+((-'M2DU Measurement'!$G$9+T7)^2/$C$10^2)))</f>
        <v>137.80206380259023</v>
      </c>
      <c r="Z7">
        <f t="shared" si="3"/>
        <v>55</v>
      </c>
      <c r="AB7" s="25">
        <f t="shared" si="8"/>
        <v>11.707444931998765</v>
      </c>
      <c r="AC7" s="9">
        <f t="shared" si="4"/>
        <v>136.64461232939055</v>
      </c>
      <c r="AD7" s="9">
        <f>'M2DU Measurement'!$G$7*(SQRT(1+((-'M2DU Measurement'!$G$9+AC7)^2/'M2DU Measurement'!$G$10^2)))</f>
        <v>190.90026064086595</v>
      </c>
      <c r="AE7" s="9">
        <f>'M2DU Measurement'!$G$7*(SQRT(1+((-'M2DU Measurement'!$G$9+AC7)^2/$C$10^2)))</f>
        <v>103.49319875388944</v>
      </c>
      <c r="AG7" s="91"/>
      <c r="AH7" s="91"/>
      <c r="AI7" s="91"/>
    </row>
    <row r="8" spans="1:35" x14ac:dyDescent="0.35">
      <c r="J8" s="1">
        <v>6</v>
      </c>
      <c r="K8" s="8">
        <f>$K$2+('M2DU Measurement'!$C$8+'M2DU Measurement'!$G$23)*J8/60</f>
        <v>-132.44345065765262</v>
      </c>
      <c r="L8" s="9">
        <f t="shared" si="0"/>
        <v>17.49371673973917</v>
      </c>
      <c r="M8" s="9">
        <f>L8-'M2DU Measurement'!$G$23</f>
        <v>-107.44345065765262</v>
      </c>
      <c r="N8" s="30">
        <f>'M2DU Measurement'!$G$7*(SQRT(1+((-'M2DU Measurement'!$G$9+L8)^2/'M2DU Measurement'!$G$10^2)))</f>
        <v>1767.4585338541979</v>
      </c>
      <c r="O8" s="8">
        <f t="shared" si="5"/>
        <v>-883.72926692709893</v>
      </c>
      <c r="P8" s="8">
        <f t="shared" si="1"/>
        <v>883.72926692709893</v>
      </c>
      <c r="Q8" s="1"/>
      <c r="S8" s="9">
        <f>J8*'M2DU Measurement'!$C$8/60</f>
        <v>5</v>
      </c>
      <c r="T8" s="9">
        <f t="shared" si="2"/>
        <v>129.93716739739179</v>
      </c>
      <c r="U8" s="9">
        <f>'M2DU Measurement'!$G$7*(SQRT(1+((-'M2DU Measurement'!$G$9+T8)^2/'M2DU Measurement'!$G$10^2)))</f>
        <v>275.94863617886421</v>
      </c>
      <c r="V8" s="9">
        <f t="shared" si="6"/>
        <v>-137.9743180894321</v>
      </c>
      <c r="W8" s="9">
        <f t="shared" si="7"/>
        <v>137.9743180894321</v>
      </c>
      <c r="Y8" s="9">
        <f>'M2DU Measurement'!$G$7*(SQRT(1+((-'M2DU Measurement'!$G$9+T8)^2/$C$10^2)))</f>
        <v>133.77116738226016</v>
      </c>
      <c r="Z8">
        <f t="shared" si="3"/>
        <v>55</v>
      </c>
      <c r="AB8" s="25">
        <f t="shared" si="8"/>
        <v>12.239147134718815</v>
      </c>
      <c r="AC8" s="9">
        <f t="shared" si="4"/>
        <v>137.17631453211061</v>
      </c>
      <c r="AD8" s="9">
        <f>'M2DU Measurement'!$G$7*(SQRT(1+((-'M2DU Measurement'!$G$9+AC8)^2/'M2DU Measurement'!$G$10^2)))</f>
        <v>184.33629998052325</v>
      </c>
      <c r="AE8" s="9">
        <f>'M2DU Measurement'!$G$7*(SQRT(1+((-'M2DU Measurement'!$G$9+AC8)^2/$C$10^2)))</f>
        <v>101.31731463233204</v>
      </c>
      <c r="AG8" s="91"/>
      <c r="AH8" s="91"/>
      <c r="AI8" s="91"/>
    </row>
    <row r="9" spans="1:35" x14ac:dyDescent="0.35">
      <c r="A9" s="53"/>
      <c r="B9" s="53"/>
      <c r="C9" s="53"/>
      <c r="D9" s="53"/>
      <c r="E9" s="53"/>
      <c r="F9" s="53"/>
      <c r="G9" s="53"/>
      <c r="H9" s="53"/>
      <c r="I9" s="53"/>
      <c r="J9" s="3">
        <v>7</v>
      </c>
      <c r="K9" s="8">
        <f>$K$2+('M2DU Measurement'!$C$8+'M2DU Measurement'!$G$23)*J9/60</f>
        <v>-129.52783120102941</v>
      </c>
      <c r="L9" s="9">
        <f t="shared" si="0"/>
        <v>20.409336196362375</v>
      </c>
      <c r="M9" s="9">
        <f>L9-'M2DU Measurement'!$G$23</f>
        <v>-104.52783120102941</v>
      </c>
      <c r="N9" s="30">
        <f>'M2DU Measurement'!$G$7*(SQRT(1+((-'M2DU Measurement'!$G$9+L9)^2/'M2DU Measurement'!$G$10^2)))</f>
        <v>1728.6128880749061</v>
      </c>
      <c r="O9" s="8">
        <f t="shared" si="5"/>
        <v>-864.30644403745305</v>
      </c>
      <c r="P9" s="8">
        <f t="shared" si="1"/>
        <v>864.30644403745305</v>
      </c>
      <c r="Q9" s="1"/>
      <c r="S9" s="9">
        <f>J9*'M2DU Measurement'!$C$8/60</f>
        <v>5.833333333333333</v>
      </c>
      <c r="T9" s="9">
        <f t="shared" si="2"/>
        <v>130.77050073072513</v>
      </c>
      <c r="U9" s="9">
        <f>'M2DU Measurement'!$G$7*(SQRT(1+((-'M2DU Measurement'!$G$9+T9)^2/'M2DU Measurement'!$G$10^2)))</f>
        <v>265.22513148802074</v>
      </c>
      <c r="V9" s="9">
        <f t="shared" si="6"/>
        <v>-132.61256574401037</v>
      </c>
      <c r="W9" s="9">
        <f t="shared" si="7"/>
        <v>132.61256574401037</v>
      </c>
      <c r="Y9" s="9">
        <f>'M2DU Measurement'!$G$7*(SQRT(1+((-'M2DU Measurement'!$G$9+T9)^2/$C$10^2)))</f>
        <v>129.7872205543631</v>
      </c>
      <c r="Z9">
        <f t="shared" si="3"/>
        <v>55</v>
      </c>
      <c r="AB9" s="25">
        <f t="shared" si="8"/>
        <v>12.770849337438865</v>
      </c>
      <c r="AC9" s="9">
        <f t="shared" si="4"/>
        <v>137.70801673483066</v>
      </c>
      <c r="AD9" s="9">
        <f>'M2DU Measurement'!$G$7*(SQRT(1+((-'M2DU Measurement'!$G$9+AC9)^2/'M2DU Measurement'!$G$10^2)))</f>
        <v>177.81272629494623</v>
      </c>
      <c r="AE9" s="9">
        <f>'M2DU Measurement'!$G$7*(SQRT(1+((-'M2DU Measurement'!$G$9+AC9)^2/$C$10^2)))</f>
        <v>99.18540139071257</v>
      </c>
      <c r="AG9" s="91"/>
      <c r="AH9" s="91"/>
      <c r="AI9" s="91"/>
    </row>
    <row r="10" spans="1:35" x14ac:dyDescent="0.35">
      <c r="A10" s="53"/>
      <c r="B10" s="53" t="s">
        <v>36</v>
      </c>
      <c r="C10" s="53">
        <f>'M2DU Measurement'!C8/(E19-E18)</f>
        <v>12.5</v>
      </c>
      <c r="D10" s="53"/>
      <c r="E10" s="53"/>
      <c r="F10" s="53"/>
      <c r="G10" s="53"/>
      <c r="H10" s="53"/>
      <c r="I10" s="53"/>
      <c r="J10" s="3">
        <v>8</v>
      </c>
      <c r="K10" s="8">
        <f>$K$2+('M2DU Measurement'!$C$8+'M2DU Measurement'!$G$23)*J10/60</f>
        <v>-126.61221174440621</v>
      </c>
      <c r="L10" s="9">
        <f t="shared" si="0"/>
        <v>23.324955652985579</v>
      </c>
      <c r="M10" s="9">
        <f>L10-'M2DU Measurement'!$G$23</f>
        <v>-101.61221174440621</v>
      </c>
      <c r="N10" s="30">
        <f>'M2DU Measurement'!$G$7*(SQRT(1+((-'M2DU Measurement'!$G$9+L10)^2/'M2DU Measurement'!$G$10^2)))</f>
        <v>1689.768713933179</v>
      </c>
      <c r="O10" s="8">
        <f t="shared" si="5"/>
        <v>-844.88435696658951</v>
      </c>
      <c r="P10" s="8">
        <f t="shared" si="1"/>
        <v>844.88435696658951</v>
      </c>
      <c r="Q10" s="1"/>
      <c r="S10" s="9">
        <f>J10*'M2DU Measurement'!$C$8/60</f>
        <v>6.666666666666667</v>
      </c>
      <c r="T10" s="9">
        <f t="shared" si="2"/>
        <v>131.60383406405845</v>
      </c>
      <c r="U10" s="9">
        <f>'M2DU Measurement'!$G$7*(SQRT(1+((-'M2DU Measurement'!$G$9+T10)^2/'M2DU Measurement'!$G$10^2)))</f>
        <v>254.53494651582329</v>
      </c>
      <c r="V10" s="9">
        <f t="shared" si="6"/>
        <v>-127.26747325791165</v>
      </c>
      <c r="W10" s="9">
        <f t="shared" si="7"/>
        <v>127.26747325791165</v>
      </c>
      <c r="Y10" s="9">
        <f>'M2DU Measurement'!$G$7*(SQRT(1+((-'M2DU Measurement'!$G$9+T10)^2/$C$10^2)))</f>
        <v>125.85468198480288</v>
      </c>
      <c r="Z10">
        <f t="shared" si="3"/>
        <v>55</v>
      </c>
      <c r="AB10" s="25">
        <f t="shared" si="8"/>
        <v>13.302551540158913</v>
      </c>
      <c r="AC10" s="9">
        <f t="shared" si="4"/>
        <v>138.23971893755069</v>
      </c>
      <c r="AD10" s="9">
        <f>'M2DU Measurement'!$G$7*(SQRT(1+((-'M2DU Measurement'!$G$9+AC10)^2/'M2DU Measurement'!$G$10^2)))</f>
        <v>171.33415286669117</v>
      </c>
      <c r="AE10" s="9">
        <f>'M2DU Measurement'!$G$7*(SQRT(1+((-'M2DU Measurement'!$G$9+AC10)^2/$C$10^2)))</f>
        <v>97.100355316041416</v>
      </c>
      <c r="AG10" s="91"/>
      <c r="AH10" s="91"/>
      <c r="AI10" s="91"/>
    </row>
    <row r="11" spans="1:35" x14ac:dyDescent="0.35">
      <c r="A11" s="53"/>
      <c r="B11" s="53" t="s">
        <v>76</v>
      </c>
      <c r="C11" s="53" t="b">
        <f>'M2DU Measurement'!G4&lt;'M2DU Measurement'!C8/(Sheet2!E19-Sheet2!E18)</f>
        <v>0</v>
      </c>
      <c r="D11" s="53"/>
      <c r="E11" s="53"/>
      <c r="F11" s="53"/>
      <c r="G11" s="53"/>
      <c r="H11" s="53"/>
      <c r="I11" s="53"/>
      <c r="J11" s="3">
        <v>9</v>
      </c>
      <c r="K11" s="8">
        <f>$K$2+('M2DU Measurement'!$C$8+'M2DU Measurement'!$G$23)*J11/60</f>
        <v>-123.69659228778302</v>
      </c>
      <c r="L11" s="9">
        <f t="shared" si="0"/>
        <v>26.24057510960877</v>
      </c>
      <c r="M11" s="9">
        <f>L11-'M2DU Measurement'!$G$23</f>
        <v>-98.69659228778302</v>
      </c>
      <c r="N11" s="30">
        <f>'M2DU Measurement'!$G$7*(SQRT(1+((-'M2DU Measurement'!$G$9+L11)^2/'M2DU Measurement'!$G$10^2)))</f>
        <v>1650.9261153062532</v>
      </c>
      <c r="O11" s="8">
        <f t="shared" si="5"/>
        <v>-825.46305765312661</v>
      </c>
      <c r="P11" s="8">
        <f t="shared" si="1"/>
        <v>825.46305765312661</v>
      </c>
      <c r="Q11" s="1"/>
      <c r="S11" s="9">
        <f>J11*'M2DU Measurement'!$C$8/60</f>
        <v>7.5</v>
      </c>
      <c r="T11" s="9">
        <f t="shared" si="2"/>
        <v>132.43716739739179</v>
      </c>
      <c r="U11" s="9">
        <f>'M2DU Measurement'!$G$7*(SQRT(1+((-'M2DU Measurement'!$G$9+T11)^2/'M2DU Measurement'!$G$10^2)))</f>
        <v>243.88246284614269</v>
      </c>
      <c r="V11" s="9">
        <f t="shared" si="6"/>
        <v>-121.94123142307134</v>
      </c>
      <c r="W11" s="9">
        <f t="shared" si="7"/>
        <v>121.94123142307134</v>
      </c>
      <c r="Y11" s="9">
        <f>'M2DU Measurement'!$G$7*(SQRT(1+((-'M2DU Measurement'!$G$9+T11)^2/$C$10^2)))</f>
        <v>121.97852391966185</v>
      </c>
      <c r="Z11">
        <f t="shared" si="3"/>
        <v>55</v>
      </c>
      <c r="AB11" s="25">
        <f t="shared" si="8"/>
        <v>13.834253742878964</v>
      </c>
      <c r="AC11" s="9">
        <f t="shared" si="4"/>
        <v>138.77142114027075</v>
      </c>
      <c r="AD11" s="9">
        <f>'M2DU Measurement'!$G$7*(SQRT(1+((-'M2DU Measurement'!$G$9+AC11)^2/'M2DU Measurement'!$G$10^2)))</f>
        <v>164.90588348759701</v>
      </c>
      <c r="AE11" s="9">
        <f>'M2DU Measurement'!$G$7*(SQRT(1+((-'M2DU Measurement'!$G$9+AC11)^2/$C$10^2)))</f>
        <v>95.065260241063356</v>
      </c>
      <c r="AG11" s="91"/>
      <c r="AH11" s="91"/>
      <c r="AI11" s="91"/>
    </row>
    <row r="12" spans="1:35" x14ac:dyDescent="0.35">
      <c r="A12" s="53"/>
      <c r="B12" s="53"/>
      <c r="C12" s="53"/>
      <c r="D12" s="53"/>
      <c r="E12" s="53"/>
      <c r="F12" s="53"/>
      <c r="G12" s="53"/>
      <c r="H12" s="53"/>
      <c r="I12" s="53"/>
      <c r="J12" s="3">
        <v>10</v>
      </c>
      <c r="K12" s="8">
        <f>$K$2+('M2DU Measurement'!$C$8+'M2DU Measurement'!$G$23)*J12/60</f>
        <v>-120.78097283115983</v>
      </c>
      <c r="L12" s="9">
        <f t="shared" si="0"/>
        <v>29.15619456623196</v>
      </c>
      <c r="M12" s="9">
        <f>L12-'M2DU Measurement'!$G$23</f>
        <v>-95.780972831159829</v>
      </c>
      <c r="N12" s="30">
        <f>'M2DU Measurement'!$G$7*(SQRT(1+((-'M2DU Measurement'!$G$9+L12)^2/'M2DU Measurement'!$G$10^2)))</f>
        <v>1612.0852060784773</v>
      </c>
      <c r="O12" s="8">
        <f t="shared" si="5"/>
        <v>-806.04260303923866</v>
      </c>
      <c r="P12" s="8">
        <f t="shared" si="1"/>
        <v>806.04260303923866</v>
      </c>
      <c r="Q12" s="1"/>
      <c r="S12" s="9">
        <f>J12*'M2DU Measurement'!$C$8/60</f>
        <v>8.3333333333333339</v>
      </c>
      <c r="T12" s="9">
        <f t="shared" si="2"/>
        <v>133.27050073072513</v>
      </c>
      <c r="U12" s="9">
        <f>'M2DU Measurement'!$G$7*(SQRT(1+((-'M2DU Measurement'!$G$9+T12)^2/'M2DU Measurement'!$G$10^2)))</f>
        <v>233.27284546448948</v>
      </c>
      <c r="V12" s="9">
        <f t="shared" si="6"/>
        <v>-116.63642273224474</v>
      </c>
      <c r="W12" s="9">
        <f t="shared" si="7"/>
        <v>116.63642273224474</v>
      </c>
      <c r="Y12" s="9">
        <f>'M2DU Measurement'!$G$7*(SQRT(1+((-'M2DU Measurement'!$G$9+T12)^2/$C$10^2)))</f>
        <v>118.16429485930971</v>
      </c>
      <c r="Z12">
        <f t="shared" si="3"/>
        <v>55</v>
      </c>
      <c r="AB12" s="25">
        <f t="shared" si="8"/>
        <v>14.365955945599012</v>
      </c>
      <c r="AC12" s="9">
        <f t="shared" si="4"/>
        <v>139.3031233429908</v>
      </c>
      <c r="AD12" s="9">
        <f>'M2DU Measurement'!$G$7*(SQRT(1+((-'M2DU Measurement'!$G$9+AC12)^2/'M2DU Measurement'!$G$10^2)))</f>
        <v>158.5340374912474</v>
      </c>
      <c r="AE12" s="9">
        <f>'M2DU Measurement'!$G$7*(SQRT(1+((-'M2DU Measurement'!$G$9+AC12)^2/$C$10^2)))</f>
        <v>93.083392480267975</v>
      </c>
    </row>
    <row r="13" spans="1:35" x14ac:dyDescent="0.35">
      <c r="A13" s="53"/>
      <c r="B13" s="53"/>
      <c r="C13" s="53"/>
      <c r="D13" s="53"/>
      <c r="E13" s="53"/>
      <c r="F13" s="53"/>
      <c r="G13" s="53"/>
      <c r="H13" s="53"/>
      <c r="I13" s="53"/>
      <c r="J13" s="3">
        <v>11</v>
      </c>
      <c r="K13" s="8">
        <f>$K$2+('M2DU Measurement'!$C$8+'M2DU Measurement'!$G$23)*J13/60</f>
        <v>-117.86535337453662</v>
      </c>
      <c r="L13" s="9">
        <f t="shared" si="0"/>
        <v>32.071814022855165</v>
      </c>
      <c r="M13" s="9">
        <f>L13-'M2DU Measurement'!$G$23</f>
        <v>-92.865353374536625</v>
      </c>
      <c r="N13" s="30">
        <f>'M2DU Measurement'!$G$7*(SQRT(1+((-'M2DU Measurement'!$G$9+L13)^2/'M2DU Measurement'!$G$10^2)))</f>
        <v>1573.2461113754775</v>
      </c>
      <c r="O13" s="8">
        <f t="shared" si="5"/>
        <v>-786.62305568773877</v>
      </c>
      <c r="P13" s="8">
        <f t="shared" si="1"/>
        <v>786.62305568773877</v>
      </c>
      <c r="Q13" s="1"/>
      <c r="S13" s="9">
        <f>J13*'M2DU Measurement'!$C$8/60</f>
        <v>9.1666666666666661</v>
      </c>
      <c r="T13" s="9">
        <f t="shared" si="2"/>
        <v>134.10383406405845</v>
      </c>
      <c r="U13" s="9">
        <f>'M2DU Measurement'!$G$7*(SQRT(1+((-'M2DU Measurement'!$G$9+T13)^2/'M2DU Measurement'!$G$10^2)))</f>
        <v>222.71222067819124</v>
      </c>
      <c r="V13" s="9">
        <f t="shared" si="6"/>
        <v>-111.35611033909562</v>
      </c>
      <c r="W13" s="9">
        <f t="shared" si="7"/>
        <v>111.35611033909562</v>
      </c>
      <c r="Y13" s="9">
        <f>'M2DU Measurement'!$G$7*(SQRT(1+((-'M2DU Measurement'!$G$9+T13)^2/$C$10^2)))</f>
        <v>114.41818834184973</v>
      </c>
      <c r="Z13">
        <f t="shared" si="3"/>
        <v>55</v>
      </c>
      <c r="AB13" s="25">
        <f t="shared" si="8"/>
        <v>14.897658148319062</v>
      </c>
      <c r="AC13" s="9">
        <f t="shared" si="4"/>
        <v>139.83482554571086</v>
      </c>
      <c r="AD13" s="9">
        <f>'M2DU Measurement'!$G$7*(SQRT(1+((-'M2DU Measurement'!$G$9+AC13)^2/'M2DU Measurement'!$G$10^2)))</f>
        <v>152.22570033309313</v>
      </c>
      <c r="AE13" s="9">
        <f>'M2DU Measurement'!$G$7*(SQRT(1+((-'M2DU Measurement'!$G$9+AC13)^2/$C$10^2)))</f>
        <v>91.158223739304063</v>
      </c>
    </row>
    <row r="14" spans="1:35" x14ac:dyDescent="0.35">
      <c r="A14" s="53"/>
      <c r="B14" s="53" t="s">
        <v>42</v>
      </c>
      <c r="C14" s="53">
        <v>50</v>
      </c>
      <c r="D14" s="53"/>
      <c r="E14" s="53"/>
      <c r="F14" s="53"/>
      <c r="G14" s="53"/>
      <c r="H14" s="53"/>
      <c r="I14" s="53"/>
      <c r="J14" s="3">
        <v>12</v>
      </c>
      <c r="K14" s="8">
        <f>$K$2+('M2DU Measurement'!$C$8+'M2DU Measurement'!$G$23)*J14/60</f>
        <v>-114.94973391791343</v>
      </c>
      <c r="L14" s="9">
        <f t="shared" si="0"/>
        <v>34.987433479478355</v>
      </c>
      <c r="M14" s="9">
        <f>L14-'M2DU Measurement'!$G$23</f>
        <v>-89.949733917913434</v>
      </c>
      <c r="N14" s="30">
        <f>'M2DU Measurement'!$G$7*(SQRT(1+((-'M2DU Measurement'!$G$9+L14)^2/'M2DU Measurement'!$G$10^2)))</f>
        <v>1534.408968985492</v>
      </c>
      <c r="O14" s="8">
        <f t="shared" si="5"/>
        <v>-767.20448449274602</v>
      </c>
      <c r="P14" s="8">
        <f t="shared" si="1"/>
        <v>767.20448449274602</v>
      </c>
      <c r="Q14" s="1"/>
      <c r="S14" s="9">
        <f>J14*'M2DU Measurement'!$C$8/60</f>
        <v>10</v>
      </c>
      <c r="T14" s="9">
        <f t="shared" si="2"/>
        <v>134.93716739739179</v>
      </c>
      <c r="U14" s="9">
        <f>'M2DU Measurement'!$G$7*(SQRT(1+((-'M2DU Measurement'!$G$9+T14)^2/'M2DU Measurement'!$G$10^2)))</f>
        <v>212.20790303104923</v>
      </c>
      <c r="V14" s="9">
        <f t="shared" si="6"/>
        <v>-106.10395151552461</v>
      </c>
      <c r="W14" s="9">
        <f t="shared" si="7"/>
        <v>106.10395151552461</v>
      </c>
      <c r="Y14" s="9">
        <f>'M2DU Measurement'!$G$7*(SQRT(1+((-'M2DU Measurement'!$G$9+T14)^2/$C$10^2)))</f>
        <v>110.74711747543948</v>
      </c>
      <c r="Z14">
        <f t="shared" si="3"/>
        <v>55</v>
      </c>
      <c r="AB14" s="25">
        <f t="shared" si="8"/>
        <v>15.429360351039112</v>
      </c>
      <c r="AC14" s="9">
        <f t="shared" si="4"/>
        <v>140.36652774843091</v>
      </c>
      <c r="AD14" s="9">
        <f>'M2DU Measurement'!$G$7*(SQRT(1+((-'M2DU Measurement'!$G$9+AC14)^2/'M2DU Measurement'!$G$10^2)))</f>
        <v>145.98910508903811</v>
      </c>
      <c r="AE14" s="9">
        <f>'M2DU Measurement'!$G$7*(SQRT(1+((-'M2DU Measurement'!$G$9+AC14)^2/$C$10^2)))</f>
        <v>89.293421390992364</v>
      </c>
    </row>
    <row r="15" spans="1:35" x14ac:dyDescent="0.35">
      <c r="A15" s="53"/>
      <c r="B15" s="53"/>
      <c r="C15" s="53">
        <v>200</v>
      </c>
      <c r="D15" s="53"/>
      <c r="E15" s="53"/>
      <c r="F15" s="53"/>
      <c r="G15" s="53"/>
      <c r="H15" s="53"/>
      <c r="I15" s="53"/>
      <c r="J15" s="3">
        <v>13</v>
      </c>
      <c r="K15" s="8">
        <f>$K$2+('M2DU Measurement'!$C$8+'M2DU Measurement'!$G$23)*J15/60</f>
        <v>-112.03411446129024</v>
      </c>
      <c r="L15" s="9">
        <f t="shared" si="0"/>
        <v>37.903052936101545</v>
      </c>
      <c r="M15" s="9">
        <f>L15-'M2DU Measurement'!$G$23</f>
        <v>-87.034114461290244</v>
      </c>
      <c r="N15" s="30">
        <f>'M2DU Measurement'!$G$7*(SQRT(1+((-'M2DU Measurement'!$G$9+L15)^2/'M2DU Measurement'!$G$10^2)))</f>
        <v>1495.5739310018291</v>
      </c>
      <c r="O15" s="8">
        <f t="shared" si="5"/>
        <v>-747.78696550091456</v>
      </c>
      <c r="P15" s="8">
        <f t="shared" si="1"/>
        <v>747.78696550091456</v>
      </c>
      <c r="Q15" s="1"/>
      <c r="S15" s="9">
        <f>J15*'M2DU Measurement'!$C$8/60</f>
        <v>10.833333333333334</v>
      </c>
      <c r="T15" s="9">
        <f t="shared" si="2"/>
        <v>135.77050073072513</v>
      </c>
      <c r="U15" s="9">
        <f>'M2DU Measurement'!$G$7*(SQRT(1+((-'M2DU Measurement'!$G$9+T15)^2/'M2DU Measurement'!$G$10^2)))</f>
        <v>201.76868696448236</v>
      </c>
      <c r="V15" s="9">
        <f t="shared" si="6"/>
        <v>-100.88434348224118</v>
      </c>
      <c r="W15" s="9">
        <f t="shared" si="7"/>
        <v>100.88434348224118</v>
      </c>
      <c r="Y15" s="9">
        <f>'M2DU Measurement'!$G$7*(SQRT(1+((-'M2DU Measurement'!$G$9+T15)^2/$C$10^2)))</f>
        <v>107.15879430388017</v>
      </c>
      <c r="Z15">
        <f t="shared" si="3"/>
        <v>55</v>
      </c>
      <c r="AB15" s="25">
        <f t="shared" si="8"/>
        <v>15.961062553759159</v>
      </c>
      <c r="AC15" s="9">
        <f t="shared" si="4"/>
        <v>140.89822995115094</v>
      </c>
      <c r="AD15" s="9">
        <f>'M2DU Measurement'!$G$7*(SQRT(1+((-'M2DU Measurement'!$G$9+AC15)^2/'M2DU Measurement'!$G$10^2)))</f>
        <v>139.83385116512008</v>
      </c>
      <c r="AE15" s="9">
        <f>'M2DU Measurement'!$G$7*(SQRT(1+((-'M2DU Measurement'!$G$9+AC15)^2/$C$10^2)))</f>
        <v>87.492845426632257</v>
      </c>
    </row>
    <row r="16" spans="1:35" x14ac:dyDescent="0.35">
      <c r="A16" s="53"/>
      <c r="B16" s="53"/>
      <c r="C16" s="53"/>
      <c r="D16" s="53"/>
      <c r="E16" s="53"/>
      <c r="F16" s="53"/>
      <c r="G16" s="53"/>
      <c r="H16" s="53"/>
      <c r="I16" s="53"/>
      <c r="J16" s="3">
        <v>14</v>
      </c>
      <c r="K16" s="8">
        <f>$K$2+('M2DU Measurement'!$C$8+'M2DU Measurement'!$G$23)*J16/60</f>
        <v>-109.11849500466704</v>
      </c>
      <c r="L16" s="9">
        <f t="shared" si="0"/>
        <v>40.81867239272475</v>
      </c>
      <c r="M16" s="9">
        <f>L16-'M2DU Measurement'!$G$23</f>
        <v>-84.118495004667039</v>
      </c>
      <c r="N16" s="30">
        <f>'M2DU Measurement'!$G$7*(SQRT(1+((-'M2DU Measurement'!$G$9+L16)^2/'M2DU Measurement'!$G$10^2)))</f>
        <v>1456.7411657276291</v>
      </c>
      <c r="O16" s="8">
        <f t="shared" si="5"/>
        <v>-728.37058286381455</v>
      </c>
      <c r="P16" s="8">
        <f t="shared" si="1"/>
        <v>728.37058286381455</v>
      </c>
      <c r="Q16" s="1"/>
      <c r="S16" s="9">
        <f>J16*'M2DU Measurement'!$C$8/60</f>
        <v>11.666666666666666</v>
      </c>
      <c r="T16" s="9">
        <f t="shared" si="2"/>
        <v>136.60383406405845</v>
      </c>
      <c r="U16" s="9">
        <f>'M2DU Measurement'!$G$7*(SQRT(1+((-'M2DU Measurement'!$G$9+T16)^2/'M2DU Measurement'!$G$10^2)))</f>
        <v>191.4052246701215</v>
      </c>
      <c r="V16" s="9">
        <f t="shared" si="6"/>
        <v>-95.702612335060749</v>
      </c>
      <c r="W16" s="9">
        <f t="shared" si="7"/>
        <v>95.702612335060749</v>
      </c>
      <c r="Y16" s="9">
        <f>'M2DU Measurement'!$G$7*(SQRT(1+((-'M2DU Measurement'!$G$9+T16)^2/$C$10^2)))</f>
        <v>103.66181228426672</v>
      </c>
      <c r="Z16">
        <f t="shared" si="3"/>
        <v>55</v>
      </c>
      <c r="AB16" s="25">
        <f t="shared" si="8"/>
        <v>16.492764756479211</v>
      </c>
      <c r="AC16" s="9">
        <f t="shared" si="4"/>
        <v>141.42993215387099</v>
      </c>
      <c r="AD16" s="9">
        <f>'M2DU Measurement'!$G$7*(SQRT(1+((-'M2DU Measurement'!$G$9+AC16)^2/'M2DU Measurement'!$G$10^2)))</f>
        <v>133.7711673822603</v>
      </c>
      <c r="AE16" s="9">
        <f>'M2DU Measurement'!$G$7*(SQRT(1+((-'M2DU Measurement'!$G$9+AC16)^2/$C$10^2)))</f>
        <v>85.760541315471414</v>
      </c>
    </row>
    <row r="17" spans="1:31" x14ac:dyDescent="0.35">
      <c r="A17" s="53"/>
      <c r="B17" s="53"/>
      <c r="C17" s="53" t="s">
        <v>48</v>
      </c>
      <c r="D17" s="53" t="s">
        <v>47</v>
      </c>
      <c r="E17" s="53" t="s">
        <v>66</v>
      </c>
      <c r="F17" s="53"/>
      <c r="G17" s="53"/>
      <c r="H17" s="53"/>
      <c r="I17" s="53"/>
      <c r="J17" s="3">
        <v>15</v>
      </c>
      <c r="K17" s="8">
        <f>$K$2+('M2DU Measurement'!$C$8+'M2DU Measurement'!$G$23)*J17/60</f>
        <v>-106.20287554804383</v>
      </c>
      <c r="L17" s="9">
        <f t="shared" si="0"/>
        <v>43.734291849347954</v>
      </c>
      <c r="M17" s="9">
        <f>L17-'M2DU Measurement'!$G$23</f>
        <v>-81.202875548043835</v>
      </c>
      <c r="N17" s="30">
        <f>'M2DU Measurement'!$G$7*(SQRT(1+((-'M2DU Measurement'!$G$9+L17)^2/'M2DU Measurement'!$G$10^2)))</f>
        <v>1417.9108598931048</v>
      </c>
      <c r="O17" s="8">
        <f t="shared" si="5"/>
        <v>-708.95542994655239</v>
      </c>
      <c r="P17" s="8">
        <f t="shared" si="1"/>
        <v>708.95542994655239</v>
      </c>
      <c r="Q17" s="1"/>
      <c r="S17" s="9">
        <f>J17*'M2DU Measurement'!$C$8/60</f>
        <v>12.5</v>
      </c>
      <c r="T17" s="9">
        <f t="shared" si="2"/>
        <v>137.43716739739179</v>
      </c>
      <c r="U17" s="9">
        <f>'M2DU Measurement'!$G$7*(SQRT(1+((-'M2DU Measurement'!$G$9+T17)^2/'M2DU Measurement'!$G$10^2)))</f>
        <v>181.13051947085066</v>
      </c>
      <c r="V17" s="9">
        <f t="shared" si="6"/>
        <v>-90.565259735425329</v>
      </c>
      <c r="W17" s="9">
        <f t="shared" si="7"/>
        <v>90.565259735425329</v>
      </c>
      <c r="Y17" s="9">
        <f>'M2DU Measurement'!$G$7*(SQRT(1+((-'M2DU Measurement'!$G$9+T17)^2/$C$10^2)))</f>
        <v>100.26572902697355</v>
      </c>
      <c r="Z17">
        <f t="shared" si="3"/>
        <v>55</v>
      </c>
      <c r="AB17" s="25">
        <f t="shared" si="8"/>
        <v>17.024466959199259</v>
      </c>
      <c r="AC17" s="9">
        <f t="shared" si="4"/>
        <v>141.96163435659105</v>
      </c>
      <c r="AD17" s="9">
        <f>'M2DU Measurement'!$G$7*(SQRT(1+((-'M2DU Measurement'!$G$9+AC17)^2/'M2DU Measurement'!$G$10^2)))</f>
        <v>127.81422721328622</v>
      </c>
      <c r="AE17" s="9">
        <f>'M2DU Measurement'!$G$7*(SQRT(1+((-'M2DU Measurement'!$G$9+AC17)^2/$C$10^2)))</f>
        <v>84.100727947691979</v>
      </c>
    </row>
    <row r="18" spans="1:31" x14ac:dyDescent="0.35">
      <c r="A18" s="53"/>
      <c r="B18" s="53" t="s">
        <v>44</v>
      </c>
      <c r="C18" s="55">
        <v>-3</v>
      </c>
      <c r="D18" s="56">
        <f>ROUND((AB2+$K$2-$M$2)/'M2DU Measurement'!G10,4)</f>
        <v>-3</v>
      </c>
      <c r="E18" s="53">
        <v>-1</v>
      </c>
      <c r="F18" s="53"/>
      <c r="G18" s="53"/>
      <c r="H18" s="53"/>
      <c r="I18" s="53"/>
      <c r="J18" s="3">
        <v>16</v>
      </c>
      <c r="K18" s="8">
        <f>$K$2+('M2DU Measurement'!$C$8+'M2DU Measurement'!$G$23)*J18/60</f>
        <v>-103.28725609142064</v>
      </c>
      <c r="L18" s="9">
        <f t="shared" si="0"/>
        <v>46.649911305971145</v>
      </c>
      <c r="M18" s="9">
        <f>L18-'M2DU Measurement'!$G$23</f>
        <v>-78.287256091420645</v>
      </c>
      <c r="N18" s="30">
        <f>'M2DU Measurement'!$G$7*(SQRT(1+((-'M2DU Measurement'!$G$9+L18)^2/'M2DU Measurement'!$G$10^2)))</f>
        <v>1379.0832212467096</v>
      </c>
      <c r="O18" s="8">
        <f t="shared" si="5"/>
        <v>-689.54161062335481</v>
      </c>
      <c r="P18" s="8">
        <f t="shared" si="1"/>
        <v>689.54161062335481</v>
      </c>
      <c r="Q18" s="1"/>
      <c r="S18" s="9">
        <f>J18*'M2DU Measurement'!$C$8/60</f>
        <v>13.333333333333334</v>
      </c>
      <c r="T18" s="9">
        <f t="shared" si="2"/>
        <v>138.27050073072513</v>
      </c>
      <c r="U18" s="9">
        <f>'M2DU Measurement'!$G$7*(SQRT(1+((-'M2DU Measurement'!$G$9+T18)^2/'M2DU Measurement'!$G$10^2)))</f>
        <v>170.96057498047014</v>
      </c>
      <c r="V18" s="9">
        <f t="shared" si="6"/>
        <v>-85.480287490235071</v>
      </c>
      <c r="W18" s="9">
        <f t="shared" si="7"/>
        <v>85.480287490235071</v>
      </c>
      <c r="Y18" s="9">
        <f>'M2DU Measurement'!$G$7*(SQRT(1+((-'M2DU Measurement'!$G$9+T18)^2/$C$10^2)))</f>
        <v>96.981144922181315</v>
      </c>
      <c r="Z18">
        <f t="shared" si="3"/>
        <v>55</v>
      </c>
      <c r="AB18" s="25">
        <f t="shared" si="8"/>
        <v>17.556169161919307</v>
      </c>
      <c r="AC18" s="9">
        <f t="shared" si="4"/>
        <v>142.4933365593111</v>
      </c>
      <c r="AD18" s="9">
        <f>'M2DU Measurement'!$G$7*(SQRT(1+((-'M2DU Measurement'!$G$9+AC18)^2/'M2DU Measurement'!$G$10^2)))</f>
        <v>121.97852391966185</v>
      </c>
      <c r="AE18" s="9">
        <f>'M2DU Measurement'!$G$7*(SQRT(1+((-'M2DU Measurement'!$G$9+AC18)^2/$C$10^2)))</f>
        <v>82.517779809418158</v>
      </c>
    </row>
    <row r="19" spans="1:31" x14ac:dyDescent="0.35">
      <c r="A19" s="53"/>
      <c r="B19" s="53" t="s">
        <v>45</v>
      </c>
      <c r="C19" s="53">
        <v>3</v>
      </c>
      <c r="D19" s="56">
        <f>ROUND((AB62+$K$2-$M$2)/'M2DU Measurement'!G10,4)</f>
        <v>3</v>
      </c>
      <c r="E19" s="53">
        <v>3</v>
      </c>
      <c r="F19" s="53"/>
      <c r="G19" s="53"/>
      <c r="H19" s="53"/>
      <c r="I19" s="53"/>
      <c r="J19" s="3">
        <v>17</v>
      </c>
      <c r="K19" s="8">
        <f>$K$2+('M2DU Measurement'!$C$8+'M2DU Measurement'!$G$23)*J19/60</f>
        <v>-100.37163663479745</v>
      </c>
      <c r="L19" s="9">
        <f t="shared" si="0"/>
        <v>49.565530762594335</v>
      </c>
      <c r="M19" s="9">
        <f>L19-'M2DU Measurement'!$G$23</f>
        <v>-75.371636634797454</v>
      </c>
      <c r="N19" s="30">
        <f>'M2DU Measurement'!$G$7*(SQRT(1+((-'M2DU Measurement'!$G$9+L19)^2/'M2DU Measurement'!$G$10^2)))</f>
        <v>1340.2584815958755</v>
      </c>
      <c r="O19" s="8">
        <f t="shared" si="5"/>
        <v>-670.12924079793777</v>
      </c>
      <c r="P19" s="8">
        <f t="shared" si="1"/>
        <v>670.12924079793777</v>
      </c>
      <c r="Q19" s="1"/>
      <c r="S19" s="9">
        <f>J19*'M2DU Measurement'!$C$8/60</f>
        <v>14.166666666666666</v>
      </c>
      <c r="T19" s="9">
        <f t="shared" si="2"/>
        <v>139.10383406405845</v>
      </c>
      <c r="U19" s="9">
        <f>'M2DU Measurement'!$G$7*(SQRT(1+((-'M2DU Measurement'!$G$9+T19)^2/'M2DU Measurement'!$G$10^2)))</f>
        <v>160.91525525144604</v>
      </c>
      <c r="V19" s="9">
        <f t="shared" si="6"/>
        <v>-80.457627625723021</v>
      </c>
      <c r="W19" s="9">
        <f t="shared" si="7"/>
        <v>80.457627625723021</v>
      </c>
      <c r="Y19" s="9">
        <f>'M2DU Measurement'!$G$7*(SQRT(1+((-'M2DU Measurement'!$G$9+T19)^2/$C$10^2)))</f>
        <v>93.819771292508065</v>
      </c>
      <c r="Z19">
        <f t="shared" si="3"/>
        <v>55</v>
      </c>
      <c r="AB19" s="25">
        <f t="shared" si="8"/>
        <v>18.087871364639359</v>
      </c>
      <c r="AC19" s="9">
        <f t="shared" si="4"/>
        <v>143.02503876203116</v>
      </c>
      <c r="AD19" s="9">
        <f>'M2DU Measurement'!$G$7*(SQRT(1+((-'M2DU Measurement'!$G$9+AC19)^2/'M2DU Measurement'!$G$10^2)))</f>
        <v>116.28231198803448</v>
      </c>
      <c r="AE19" s="9">
        <f>'M2DU Measurement'!$G$7*(SQRT(1+((-'M2DU Measurement'!$G$9+AC19)^2/$C$10^2)))</f>
        <v>81.016202556985121</v>
      </c>
    </row>
    <row r="20" spans="1:31" x14ac:dyDescent="0.35">
      <c r="A20" s="53"/>
      <c r="B20" s="53"/>
      <c r="C20" s="53"/>
      <c r="D20" s="53"/>
      <c r="E20" s="53"/>
      <c r="F20" s="53"/>
      <c r="G20" s="53"/>
      <c r="H20" s="53"/>
      <c r="I20" s="53"/>
      <c r="J20" s="3">
        <v>18</v>
      </c>
      <c r="K20" s="8">
        <f>$K$2+('M2DU Measurement'!$C$8+'M2DU Measurement'!$G$23)*J20/60</f>
        <v>-97.45601717817425</v>
      </c>
      <c r="L20" s="9">
        <f t="shared" si="0"/>
        <v>52.48115021921754</v>
      </c>
      <c r="M20" s="9">
        <f>L20-'M2DU Measurement'!$G$23</f>
        <v>-72.45601717817425</v>
      </c>
      <c r="N20" s="30">
        <f>'M2DU Measurement'!$G$7*(SQRT(1+((-'M2DU Measurement'!$G$9+L20)^2/'M2DU Measurement'!$G$10^2)))</f>
        <v>1301.4369003909667</v>
      </c>
      <c r="O20" s="8">
        <f t="shared" si="5"/>
        <v>-650.71845019548334</v>
      </c>
      <c r="P20" s="8">
        <f t="shared" si="1"/>
        <v>650.71845019548334</v>
      </c>
      <c r="Q20" s="1"/>
      <c r="S20" s="9">
        <f>J20*'M2DU Measurement'!$C$8/60</f>
        <v>15</v>
      </c>
      <c r="T20" s="9">
        <f t="shared" si="2"/>
        <v>139.93716739739179</v>
      </c>
      <c r="U20" s="9">
        <f>'M2DU Measurement'!$G$7*(SQRT(1+((-'M2DU Measurement'!$G$9+T20)^2/'M2DU Measurement'!$G$10^2)))</f>
        <v>151.01943122901511</v>
      </c>
      <c r="V20" s="9">
        <f t="shared" si="6"/>
        <v>-75.509715614507556</v>
      </c>
      <c r="W20" s="9">
        <f t="shared" si="7"/>
        <v>75.509715614507556</v>
      </c>
      <c r="Y20" s="9">
        <f>'M2DU Measurement'!$G$7*(SQRT(1+((-'M2DU Measurement'!$G$9+T20)^2/$C$10^2)))</f>
        <v>90.794479249536963</v>
      </c>
      <c r="Z20">
        <f t="shared" si="3"/>
        <v>55</v>
      </c>
      <c r="AB20" s="25">
        <f t="shared" si="8"/>
        <v>18.61957356735941</v>
      </c>
      <c r="AC20" s="9">
        <f t="shared" si="4"/>
        <v>143.55674096475121</v>
      </c>
      <c r="AD20" s="9">
        <f>'M2DU Measurement'!$G$7*(SQRT(1+((-'M2DU Measurement'!$G$9+AC20)^2/'M2DU Measurement'!$G$10^2)))</f>
        <v>110.74711747543935</v>
      </c>
      <c r="AE20" s="9">
        <f>'M2DU Measurement'!$G$7*(SQRT(1+((-'M2DU Measurement'!$G$9+AC20)^2/$C$10^2)))</f>
        <v>79.600601238735422</v>
      </c>
    </row>
    <row r="21" spans="1:31" x14ac:dyDescent="0.35">
      <c r="A21" s="53"/>
      <c r="B21" s="53"/>
      <c r="C21" s="53"/>
      <c r="D21" s="53"/>
      <c r="E21" s="53"/>
      <c r="F21" s="53"/>
      <c r="G21" s="53"/>
      <c r="H21" s="53"/>
      <c r="I21" s="53"/>
      <c r="J21" s="3">
        <v>19</v>
      </c>
      <c r="K21" s="8">
        <f>$K$2+('M2DU Measurement'!$C$8+'M2DU Measurement'!$G$23)*J21/60</f>
        <v>-94.540397721551059</v>
      </c>
      <c r="L21" s="9">
        <f t="shared" si="0"/>
        <v>55.39676967584073</v>
      </c>
      <c r="M21" s="9">
        <f>L21-'M2DU Measurement'!$G$23</f>
        <v>-69.540397721551059</v>
      </c>
      <c r="N21" s="30">
        <f>'M2DU Measurement'!$G$7*(SQRT(1+((-'M2DU Measurement'!$G$9+L21)^2/'M2DU Measurement'!$G$10^2)))</f>
        <v>1262.6187689690412</v>
      </c>
      <c r="O21" s="8">
        <f t="shared" si="5"/>
        <v>-631.30938448452059</v>
      </c>
      <c r="P21" s="8">
        <f t="shared" si="1"/>
        <v>631.30938448452059</v>
      </c>
      <c r="Q21" s="1"/>
      <c r="S21" s="9">
        <f>J21*'M2DU Measurement'!$C$8/60</f>
        <v>15.833333333333334</v>
      </c>
      <c r="T21" s="9">
        <f t="shared" si="2"/>
        <v>140.77050073072513</v>
      </c>
      <c r="U21" s="9">
        <f>'M2DU Measurement'!$G$7*(SQRT(1+((-'M2DU Measurement'!$G$9+T21)^2/'M2DU Measurement'!$G$10^2)))</f>
        <v>141.30451481090276</v>
      </c>
      <c r="V21" s="9">
        <f t="shared" si="6"/>
        <v>-70.65225740545138</v>
      </c>
      <c r="W21" s="9">
        <f t="shared" si="7"/>
        <v>70.65225740545138</v>
      </c>
      <c r="Y21" s="9">
        <f>'M2DU Measurement'!$G$7*(SQRT(1+((-'M2DU Measurement'!$G$9+T21)^2/$C$10^2)))</f>
        <v>87.919317563692388</v>
      </c>
      <c r="Z21">
        <f t="shared" si="3"/>
        <v>55</v>
      </c>
      <c r="AB21" s="25">
        <f t="shared" si="8"/>
        <v>19.151275770079458</v>
      </c>
      <c r="AC21" s="9">
        <f t="shared" si="4"/>
        <v>144.08844316747124</v>
      </c>
      <c r="AD21" s="9">
        <f>'M2DU Measurement'!$G$7*(SQRT(1+((-'M2DU Measurement'!$G$9+AC21)^2/'M2DU Measurement'!$G$10^2)))</f>
        <v>105.3983118514149</v>
      </c>
      <c r="AE21" s="9">
        <f>'M2DU Measurement'!$G$7*(SQRT(1+((-'M2DU Measurement'!$G$9+AC21)^2/$C$10^2)))</f>
        <v>78.275640573021221</v>
      </c>
    </row>
    <row r="22" spans="1:31" x14ac:dyDescent="0.35">
      <c r="A22" s="53"/>
      <c r="B22" t="s">
        <v>1</v>
      </c>
      <c r="H22" s="53"/>
      <c r="I22" s="53"/>
      <c r="J22" s="3">
        <v>20</v>
      </c>
      <c r="K22" s="8">
        <f>$K$2+('M2DU Measurement'!$C$8+'M2DU Measurement'!$G$23)*J22/60</f>
        <v>-91.624778264927855</v>
      </c>
      <c r="L22" s="9">
        <f t="shared" si="0"/>
        <v>58.312389132463935</v>
      </c>
      <c r="M22" s="9">
        <f>L22-'M2DU Measurement'!$G$23</f>
        <v>-66.624778264927855</v>
      </c>
      <c r="N22" s="30">
        <f>'M2DU Measurement'!$G$7*(SQRT(1+((-'M2DU Measurement'!$G$9+L22)^2/'M2DU Measurement'!$G$10^2)))</f>
        <v>1223.8044156035025</v>
      </c>
      <c r="O22" s="8">
        <f t="shared" si="5"/>
        <v>-611.90220780175127</v>
      </c>
      <c r="P22" s="8">
        <f t="shared" si="1"/>
        <v>611.90220780175127</v>
      </c>
      <c r="Q22" s="1"/>
      <c r="S22" s="9">
        <f>J22*'M2DU Measurement'!$C$8/60</f>
        <v>16.666666666666668</v>
      </c>
      <c r="T22" s="9">
        <f t="shared" si="2"/>
        <v>141.60383406405845</v>
      </c>
      <c r="U22" s="9">
        <f>'M2DU Measurement'!$G$7*(SQRT(1+((-'M2DU Measurement'!$G$9+T22)^2/'M2DU Measurement'!$G$10^2)))</f>
        <v>131.81051272287186</v>
      </c>
      <c r="V22" s="9">
        <f t="shared" si="6"/>
        <v>-65.905256361435931</v>
      </c>
      <c r="W22" s="9">
        <f t="shared" si="7"/>
        <v>65.905256361435931</v>
      </c>
      <c r="Y22" s="9">
        <f>'M2DU Measurement'!$G$7*(SQRT(1+((-'M2DU Measurement'!$G$9+T22)^2/$C$10^2)))</f>
        <v>85.209484808857468</v>
      </c>
      <c r="Z22">
        <f t="shared" si="3"/>
        <v>55</v>
      </c>
      <c r="AB22" s="25">
        <f t="shared" si="8"/>
        <v>19.682977972799506</v>
      </c>
      <c r="AC22" s="9">
        <f t="shared" si="4"/>
        <v>144.6201453701913</v>
      </c>
      <c r="AD22" s="9">
        <f>'M2DU Measurement'!$G$7*(SQRT(1+((-'M2DU Measurement'!$G$9+AC22)^2/'M2DU Measurement'!$G$10^2)))</f>
        <v>100.26572902697359</v>
      </c>
      <c r="AE22" s="9">
        <f>'M2DU Measurement'!$G$7*(SQRT(1+((-'M2DU Measurement'!$G$9+AC22)^2/$C$10^2)))</f>
        <v>77.045996945982438</v>
      </c>
    </row>
    <row r="23" spans="1:31" x14ac:dyDescent="0.35">
      <c r="A23" s="53"/>
      <c r="B23" t="s">
        <v>92</v>
      </c>
      <c r="H23" s="53"/>
      <c r="I23" s="53"/>
      <c r="J23" s="3">
        <v>21</v>
      </c>
      <c r="K23" s="8">
        <f>$K$2+('M2DU Measurement'!$C$8+'M2DU Measurement'!$G$23)*J23/60</f>
        <v>-88.709158808304664</v>
      </c>
      <c r="L23" s="9">
        <f t="shared" si="0"/>
        <v>61.228008589087125</v>
      </c>
      <c r="M23" s="9">
        <f>L23-'M2DU Measurement'!$G$23</f>
        <v>-63.709158808304664</v>
      </c>
      <c r="N23" s="30">
        <f>'M2DU Measurement'!$G$7*(SQRT(1+((-'M2DU Measurement'!$G$9+L23)^2/'M2DU Measurement'!$G$10^2)))</f>
        <v>1184.9942115438578</v>
      </c>
      <c r="O23" s="8">
        <f t="shared" si="5"/>
        <v>-592.49710577192889</v>
      </c>
      <c r="P23" s="8">
        <f t="shared" si="1"/>
        <v>592.49710577192889</v>
      </c>
      <c r="Q23" s="1"/>
      <c r="S23" s="9">
        <f>J23*'M2DU Measurement'!$C$8/60</f>
        <v>17.5</v>
      </c>
      <c r="T23" s="9">
        <f t="shared" si="2"/>
        <v>142.43716739739179</v>
      </c>
      <c r="U23" s="9">
        <f>'M2DU Measurement'!$G$7*(SQRT(1+((-'M2DU Measurement'!$G$9+T23)^2/'M2DU Measurement'!$G$10^2)))</f>
        <v>122.58876246907884</v>
      </c>
      <c r="V23" s="9">
        <f t="shared" si="6"/>
        <v>-61.294381234539422</v>
      </c>
      <c r="W23" s="9">
        <f t="shared" si="7"/>
        <v>61.294381234539422</v>
      </c>
      <c r="Y23" s="9">
        <f>'M2DU Measurement'!$G$7*(SQRT(1+((-'M2DU Measurement'!$G$9+T23)^2/$C$10^2)))</f>
        <v>82.681238281554101</v>
      </c>
      <c r="Z23">
        <f t="shared" si="3"/>
        <v>55</v>
      </c>
      <c r="AB23" s="25">
        <f t="shared" si="8"/>
        <v>20.214680175519554</v>
      </c>
      <c r="AC23" s="9">
        <f t="shared" si="4"/>
        <v>145.15184757291135</v>
      </c>
      <c r="AD23" s="9">
        <f>'M2DU Measurement'!$G$7*(SQRT(1+((-'M2DU Measurement'!$G$9+AC23)^2/'M2DU Measurement'!$G$10^2)))</f>
        <v>95.384279929483057</v>
      </c>
      <c r="AE23" s="9">
        <f>'M2DU Measurement'!$G$7*(SQRT(1+((-'M2DU Measurement'!$G$9+AC23)^2/$C$10^2)))</f>
        <v>75.916302151901235</v>
      </c>
    </row>
    <row r="24" spans="1:31" x14ac:dyDescent="0.35">
      <c r="A24" s="53"/>
      <c r="B24" t="s">
        <v>93</v>
      </c>
      <c r="H24" s="53"/>
      <c r="I24" s="53"/>
      <c r="J24" s="3">
        <v>22</v>
      </c>
      <c r="K24" s="8">
        <f>$K$2+('M2DU Measurement'!$C$8+'M2DU Measurement'!$G$23)*J24/60</f>
        <v>-85.793539351681474</v>
      </c>
      <c r="L24" s="9">
        <f t="shared" si="0"/>
        <v>64.143628045710315</v>
      </c>
      <c r="M24" s="9">
        <f>L24-'M2DU Measurement'!$G$23</f>
        <v>-60.793539351681474</v>
      </c>
      <c r="N24" s="30">
        <f>'M2DU Measurement'!$G$7*(SQRT(1+((-'M2DU Measurement'!$G$9+L24)^2/'M2DU Measurement'!$G$10^2)))</f>
        <v>1146.1885782794873</v>
      </c>
      <c r="O24" s="8">
        <f t="shared" si="5"/>
        <v>-573.09428913974364</v>
      </c>
      <c r="P24" s="8">
        <f t="shared" si="1"/>
        <v>573.09428913974364</v>
      </c>
      <c r="Q24" s="1"/>
      <c r="S24" s="9">
        <f>J24*'M2DU Measurement'!$C$8/60</f>
        <v>18.333333333333332</v>
      </c>
      <c r="T24" s="9">
        <f t="shared" si="2"/>
        <v>143.27050073072513</v>
      </c>
      <c r="U24" s="9">
        <f>'M2DU Measurement'!$G$7*(SQRT(1+((-'M2DU Measurement'!$G$9+T24)^2/'M2DU Measurement'!$G$10^2)))</f>
        <v>113.70552389504356</v>
      </c>
      <c r="V24" s="9">
        <f t="shared" si="6"/>
        <v>-56.852761947521778</v>
      </c>
      <c r="W24" s="9">
        <f t="shared" si="7"/>
        <v>56.852761947521778</v>
      </c>
      <c r="Y24" s="9">
        <f>'M2DU Measurement'!$G$7*(SQRT(1+((-'M2DU Measurement'!$G$9+T24)^2/$C$10^2)))</f>
        <v>80.351720504330601</v>
      </c>
      <c r="Z24">
        <f t="shared" si="3"/>
        <v>55</v>
      </c>
      <c r="AB24" s="25">
        <f t="shared" si="8"/>
        <v>20.746382378239606</v>
      </c>
      <c r="AC24" s="9">
        <f t="shared" si="4"/>
        <v>145.68354977563141</v>
      </c>
      <c r="AD24" s="9">
        <f>'M2DU Measurement'!$G$7*(SQRT(1+((-'M2DU Measurement'!$G$9+AC24)^2/'M2DU Measurement'!$G$10^2)))</f>
        <v>90.794479249536892</v>
      </c>
      <c r="AE24" s="9">
        <f>'M2DU Measurement'!$G$7*(SQRT(1+((-'M2DU Measurement'!$G$9+AC24)^2/$C$10^2)))</f>
        <v>74.891079363113064</v>
      </c>
    </row>
    <row r="25" spans="1:31" x14ac:dyDescent="0.35">
      <c r="A25" s="53"/>
      <c r="H25" s="53"/>
      <c r="I25" s="53"/>
      <c r="J25" s="3">
        <v>23</v>
      </c>
      <c r="K25" s="8">
        <f>$K$2+('M2DU Measurement'!$C$8+'M2DU Measurement'!$G$23)*J25/60</f>
        <v>-82.87791989505827</v>
      </c>
      <c r="L25" s="9">
        <f t="shared" si="0"/>
        <v>67.05924750233352</v>
      </c>
      <c r="M25" s="9">
        <f>L25-'M2DU Measurement'!$G$23</f>
        <v>-57.87791989505827</v>
      </c>
      <c r="N25" s="30">
        <f>'M2DU Measurement'!$G$7*(SQRT(1+((-'M2DU Measurement'!$G$9+L25)^2/'M2DU Measurement'!$G$10^2)))</f>
        <v>1107.3879963266438</v>
      </c>
      <c r="O25" s="8">
        <f t="shared" si="5"/>
        <v>-553.69399816332191</v>
      </c>
      <c r="P25" s="8">
        <f t="shared" si="1"/>
        <v>553.69399816332191</v>
      </c>
      <c r="Q25" s="1"/>
      <c r="S25" s="9">
        <f>J25*'M2DU Measurement'!$C$8/60</f>
        <v>19.166666666666668</v>
      </c>
      <c r="T25" s="9">
        <f t="shared" si="2"/>
        <v>144.10383406405845</v>
      </c>
      <c r="U25" s="9">
        <f>'M2DU Measurement'!$G$7*(SQRT(1+((-'M2DU Measurement'!$G$9+T25)^2/'M2DU Measurement'!$G$10^2)))</f>
        <v>105.24654723982492</v>
      </c>
      <c r="V25" s="9">
        <f t="shared" si="6"/>
        <v>-52.62327361991246</v>
      </c>
      <c r="W25" s="9">
        <f t="shared" si="7"/>
        <v>52.62327361991246</v>
      </c>
      <c r="Y25" s="9">
        <f>'M2DU Measurement'!$G$7*(SQRT(1+((-'M2DU Measurement'!$G$9+T25)^2/$C$10^2)))</f>
        <v>78.238684639350382</v>
      </c>
      <c r="Z25">
        <f t="shared" si="3"/>
        <v>55</v>
      </c>
      <c r="AB25" s="25">
        <f t="shared" si="8"/>
        <v>21.278084580959657</v>
      </c>
      <c r="AC25" s="9">
        <f t="shared" si="4"/>
        <v>146.21525197835143</v>
      </c>
      <c r="AD25" s="9">
        <f>'M2DU Measurement'!$G$7*(SQRT(1+((-'M2DU Measurement'!$G$9+AC25)^2/'M2DU Measurement'!$G$10^2)))</f>
        <v>86.542742219647337</v>
      </c>
      <c r="AE25" s="9">
        <f>'M2DU Measurement'!$G$7*(SQRT(1+((-'M2DU Measurement'!$G$9+AC25)^2/$C$10^2)))</f>
        <v>73.974672372781342</v>
      </c>
    </row>
    <row r="26" spans="1:31" x14ac:dyDescent="0.35">
      <c r="A26" s="53"/>
      <c r="H26" s="53"/>
      <c r="I26" s="53"/>
      <c r="J26" s="3">
        <v>24</v>
      </c>
      <c r="K26" s="8">
        <f>$K$2+('M2DU Measurement'!$C$8+'M2DU Measurement'!$G$23)*J26/60</f>
        <v>-79.962300438435079</v>
      </c>
      <c r="L26" s="9">
        <f t="shared" si="0"/>
        <v>69.97486695895671</v>
      </c>
      <c r="M26" s="9">
        <f>L26-'M2DU Measurement'!$G$23</f>
        <v>-54.962300438435079</v>
      </c>
      <c r="N26" s="30">
        <f>'M2DU Measurement'!$G$7*(SQRT(1+((-'M2DU Measurement'!$G$9+L26)^2/'M2DU Measurement'!$G$10^2)))</f>
        <v>1068.5930159244024</v>
      </c>
      <c r="O26" s="8">
        <f t="shared" si="5"/>
        <v>-534.29650796220119</v>
      </c>
      <c r="P26" s="8">
        <f t="shared" si="1"/>
        <v>534.29650796220119</v>
      </c>
      <c r="Q26" s="1"/>
      <c r="S26" s="9">
        <f>J26*'M2DU Measurement'!$C$8/60</f>
        <v>20</v>
      </c>
      <c r="T26" s="9">
        <f t="shared" si="2"/>
        <v>144.93716739739179</v>
      </c>
      <c r="U26" s="9">
        <f>'M2DU Measurement'!$G$7*(SQRT(1+((-'M2DU Measurement'!$G$9+T26)^2/'M2DU Measurement'!$G$10^2)))</f>
        <v>97.322522103957198</v>
      </c>
      <c r="V26" s="9">
        <f t="shared" si="6"/>
        <v>-48.661261051978599</v>
      </c>
      <c r="W26" s="9">
        <f t="shared" si="7"/>
        <v>48.661261051978599</v>
      </c>
      <c r="Y26" s="9">
        <f>'M2DU Measurement'!$G$7*(SQRT(1+((-'M2DU Measurement'!$G$9+T26)^2/$C$10^2)))</f>
        <v>76.360104256346332</v>
      </c>
      <c r="Z26">
        <f t="shared" si="3"/>
        <v>55</v>
      </c>
      <c r="AB26" s="25">
        <f t="shared" si="8"/>
        <v>21.809786783679705</v>
      </c>
      <c r="AC26" s="9">
        <f t="shared" si="4"/>
        <v>146.74695418107149</v>
      </c>
      <c r="AD26" s="9">
        <f>'M2DU Measurement'!$G$7*(SQRT(1+((-'M2DU Measurement'!$G$9+AC26)^2/'M2DU Measurement'!$G$10^2)))</f>
        <v>82.681238281554172</v>
      </c>
      <c r="AE26" s="9">
        <f>'M2DU Measurement'!$G$7*(SQRT(1+((-'M2DU Measurement'!$G$9+AC26)^2/$C$10^2)))</f>
        <v>73.171169772550954</v>
      </c>
    </row>
    <row r="27" spans="1:31" x14ac:dyDescent="0.35">
      <c r="A27" s="53"/>
      <c r="H27" s="53"/>
      <c r="I27" s="53"/>
      <c r="J27" s="3">
        <v>25</v>
      </c>
      <c r="K27" s="8">
        <f>$K$2+('M2DU Measurement'!$C$8+'M2DU Measurement'!$G$23)*J27/60</f>
        <v>-77.046680981811875</v>
      </c>
      <c r="L27" s="9">
        <f t="shared" si="0"/>
        <v>72.890486415579915</v>
      </c>
      <c r="M27" s="9">
        <f>L27-'M2DU Measurement'!$G$23</f>
        <v>-52.046680981811875</v>
      </c>
      <c r="N27" s="30">
        <f>'M2DU Measurement'!$G$7*(SQRT(1+((-'M2DU Measurement'!$G$9+L27)^2/'M2DU Measurement'!$G$10^2)))</f>
        <v>1029.8042701409649</v>
      </c>
      <c r="O27" s="8">
        <f t="shared" si="5"/>
        <v>-514.90213507048247</v>
      </c>
      <c r="P27" s="8">
        <f t="shared" si="1"/>
        <v>514.90213507048247</v>
      </c>
      <c r="Q27" s="1"/>
      <c r="S27" s="9">
        <f>J27*'M2DU Measurement'!$C$8/60</f>
        <v>20.833333333333332</v>
      </c>
      <c r="T27" s="9">
        <f t="shared" si="2"/>
        <v>145.77050073072513</v>
      </c>
      <c r="U27" s="9">
        <f>'M2DU Measurement'!$G$7*(SQRT(1+((-'M2DU Measurement'!$G$9+T27)^2/'M2DU Measurement'!$G$10^2)))</f>
        <v>90.074741035198116</v>
      </c>
      <c r="V27" s="9">
        <f t="shared" si="6"/>
        <v>-45.037370517599058</v>
      </c>
      <c r="W27" s="9">
        <f t="shared" si="7"/>
        <v>45.037370517599058</v>
      </c>
      <c r="Y27" s="9">
        <f>'M2DU Measurement'!$G$7*(SQRT(1+((-'M2DU Measurement'!$G$9+T27)^2/$C$10^2)))</f>
        <v>74.73366197262888</v>
      </c>
      <c r="Z27">
        <f t="shared" si="3"/>
        <v>55</v>
      </c>
      <c r="AB27" s="25">
        <f t="shared" si="8"/>
        <v>22.341488986399753</v>
      </c>
      <c r="AC27" s="9">
        <f t="shared" si="4"/>
        <v>147.27865638379154</v>
      </c>
      <c r="AD27" s="9">
        <f>'M2DU Measurement'!$G$7*(SQRT(1+((-'M2DU Measurement'!$G$9+AC27)^2/'M2DU Measurement'!$G$10^2)))</f>
        <v>79.267018745623687</v>
      </c>
      <c r="AE27" s="9">
        <f>'M2DU Measurement'!$G$7*(SQRT(1+((-'M2DU Measurement'!$G$9+AC27)^2/$C$10^2)))</f>
        <v>72.484326359851863</v>
      </c>
    </row>
    <row r="28" spans="1:31" x14ac:dyDescent="0.35">
      <c r="A28" s="53"/>
      <c r="H28" s="53"/>
      <c r="I28" s="53"/>
      <c r="J28" s="3">
        <v>26</v>
      </c>
      <c r="K28" s="8">
        <f>$K$2+('M2DU Measurement'!$C$8+'M2DU Measurement'!$G$23)*J28/60</f>
        <v>-74.131061525188684</v>
      </c>
      <c r="L28" s="9">
        <f t="shared" si="0"/>
        <v>75.806105872203105</v>
      </c>
      <c r="M28" s="9">
        <f>L28-'M2DU Measurement'!$G$23</f>
        <v>-49.131061525188684</v>
      </c>
      <c r="N28" s="30">
        <f>'M2DU Measurement'!$G$7*(SQRT(1+((-'M2DU Measurement'!$G$9+L28)^2/'M2DU Measurement'!$G$10^2)))</f>
        <v>991.02249104791053</v>
      </c>
      <c r="O28" s="8">
        <f t="shared" si="5"/>
        <v>-495.51124552395527</v>
      </c>
      <c r="P28" s="8">
        <f t="shared" si="1"/>
        <v>495.51124552395527</v>
      </c>
      <c r="Q28" s="1"/>
      <c r="S28" s="9">
        <f>J28*'M2DU Measurement'!$C$8/60</f>
        <v>21.666666666666668</v>
      </c>
      <c r="T28" s="9">
        <f t="shared" si="2"/>
        <v>146.60383406405845</v>
      </c>
      <c r="U28" s="9">
        <f>'M2DU Measurement'!$G$7*(SQRT(1+((-'M2DU Measurement'!$G$9+T28)^2/'M2DU Measurement'!$G$10^2)))</f>
        <v>83.67910550163063</v>
      </c>
      <c r="V28" s="9">
        <f t="shared" si="6"/>
        <v>-41.839552750815315</v>
      </c>
      <c r="W28" s="9">
        <f t="shared" si="7"/>
        <v>41.839552750815315</v>
      </c>
      <c r="Y28" s="9">
        <f>'M2DU Measurement'!$G$7*(SQRT(1+((-'M2DU Measurement'!$G$9+T28)^2/$C$10^2)))</f>
        <v>73.376126250252213</v>
      </c>
      <c r="Z28">
        <f t="shared" si="3"/>
        <v>55</v>
      </c>
      <c r="AB28" s="25">
        <f t="shared" si="8"/>
        <v>22.873191189119801</v>
      </c>
      <c r="AC28" s="9">
        <f t="shared" si="4"/>
        <v>147.8103585865116</v>
      </c>
      <c r="AD28" s="9">
        <f>'M2DU Measurement'!$G$7*(SQRT(1+((-'M2DU Measurement'!$G$9+AC28)^2/'M2DU Measurement'!$G$10^2)))</f>
        <v>76.360104256346318</v>
      </c>
      <c r="AE28" s="9">
        <f>'M2DU Measurement'!$G$7*(SQRT(1+((-'M2DU Measurement'!$G$9+AC28)^2/$C$10^2)))</f>
        <v>71.917484651053087</v>
      </c>
    </row>
    <row r="29" spans="1:31" x14ac:dyDescent="0.35">
      <c r="A29" s="53"/>
      <c r="H29" s="53"/>
      <c r="I29" s="53"/>
      <c r="J29" s="3">
        <v>27</v>
      </c>
      <c r="K29" s="8">
        <f>$K$2+('M2DU Measurement'!$C$8+'M2DU Measurement'!$G$23)*J29/60</f>
        <v>-71.21544206856548</v>
      </c>
      <c r="L29" s="9">
        <f t="shared" si="0"/>
        <v>78.721725328826309</v>
      </c>
      <c r="M29" s="9">
        <f>L29-'M2DU Measurement'!$G$23</f>
        <v>-46.21544206856548</v>
      </c>
      <c r="N29" s="30">
        <f>'M2DU Measurement'!$G$7*(SQRT(1+((-'M2DU Measurement'!$G$9+L29)^2/'M2DU Measurement'!$G$10^2)))</f>
        <v>952.24852983301071</v>
      </c>
      <c r="O29" s="8">
        <f t="shared" si="5"/>
        <v>-476.12426491650535</v>
      </c>
      <c r="P29" s="8">
        <f t="shared" si="1"/>
        <v>476.12426491650535</v>
      </c>
      <c r="Q29" s="1"/>
      <c r="S29" s="9">
        <f>J29*'M2DU Measurement'!$C$8/60</f>
        <v>22.5</v>
      </c>
      <c r="T29" s="9">
        <f t="shared" si="2"/>
        <v>147.43716739739179</v>
      </c>
      <c r="U29" s="9">
        <f>'M2DU Measurement'!$G$7*(SQRT(1+((-'M2DU Measurement'!$G$9+T29)^2/'M2DU Measurement'!$G$10^2)))</f>
        <v>78.344588094266228</v>
      </c>
      <c r="V29" s="9">
        <f t="shared" si="6"/>
        <v>-39.172294047133114</v>
      </c>
      <c r="W29" s="9">
        <f t="shared" si="7"/>
        <v>39.172294047133114</v>
      </c>
      <c r="Y29" s="9">
        <f>'M2DU Measurement'!$G$7*(SQRT(1+((-'M2DU Measurement'!$G$9+T29)^2/$C$10^2)))</f>
        <v>72.302645435706239</v>
      </c>
      <c r="Z29">
        <f t="shared" si="3"/>
        <v>55</v>
      </c>
      <c r="AB29" s="25">
        <f t="shared" si="8"/>
        <v>23.404893391839853</v>
      </c>
      <c r="AC29" s="9">
        <f t="shared" si="4"/>
        <v>148.34206078923165</v>
      </c>
      <c r="AD29" s="9">
        <f>'M2DU Measurement'!$G$7*(SQRT(1+((-'M2DU Measurement'!$G$9+AC29)^2/'M2DU Measurement'!$G$10^2)))</f>
        <v>74.020287404428572</v>
      </c>
      <c r="AE29" s="9">
        <f>'M2DU Measurement'!$G$7*(SQRT(1+((-'M2DU Measurement'!$G$9+AC29)^2/$C$10^2)))</f>
        <v>71.473499830092976</v>
      </c>
    </row>
    <row r="30" spans="1:31" x14ac:dyDescent="0.35">
      <c r="A30" s="53"/>
      <c r="B30" s="53"/>
      <c r="C30" s="53"/>
      <c r="D30" s="53"/>
      <c r="E30" s="53"/>
      <c r="F30" s="53"/>
      <c r="G30" s="53"/>
      <c r="H30" s="53"/>
      <c r="I30" s="53"/>
      <c r="J30" s="3">
        <v>28</v>
      </c>
      <c r="K30" s="8">
        <f>$K$2+('M2DU Measurement'!$C$8+'M2DU Measurement'!$G$23)*J30/60</f>
        <v>-68.299822611942275</v>
      </c>
      <c r="L30" s="9">
        <f t="shared" si="0"/>
        <v>81.637344785449514</v>
      </c>
      <c r="M30" s="9">
        <f>L30-'M2DU Measurement'!$G$23</f>
        <v>-43.299822611942275</v>
      </c>
      <c r="N30" s="30">
        <f>'M2DU Measurement'!$G$7*(SQRT(1+((-'M2DU Measurement'!$G$9+L30)^2/'M2DU Measurement'!$G$10^2)))</f>
        <v>913.48338201608169</v>
      </c>
      <c r="O30" s="8">
        <f t="shared" si="5"/>
        <v>-456.74169100804085</v>
      </c>
      <c r="P30" s="8">
        <f t="shared" si="1"/>
        <v>456.74169100804085</v>
      </c>
      <c r="Q30" s="1"/>
      <c r="S30" s="9">
        <f>J30*'M2DU Measurement'!$C$8/60</f>
        <v>23.333333333333332</v>
      </c>
      <c r="T30" s="9">
        <f t="shared" si="2"/>
        <v>148.27050073072513</v>
      </c>
      <c r="U30" s="9">
        <f>'M2DU Measurement'!$G$7*(SQRT(1+((-'M2DU Measurement'!$G$9+T30)^2/'M2DU Measurement'!$G$10^2)))</f>
        <v>74.300096439235404</v>
      </c>
      <c r="V30" s="9">
        <f t="shared" si="6"/>
        <v>-37.150048219617702</v>
      </c>
      <c r="W30" s="9">
        <f t="shared" si="7"/>
        <v>37.150048219617702</v>
      </c>
      <c r="Y30" s="9">
        <f>'M2DU Measurement'!$G$7*(SQRT(1+((-'M2DU Measurement'!$G$9+T30)^2/$C$10^2)))</f>
        <v>71.526010180665523</v>
      </c>
      <c r="Z30">
        <f t="shared" si="3"/>
        <v>55</v>
      </c>
      <c r="AB30" s="25">
        <f t="shared" si="8"/>
        <v>23.936595594559904</v>
      </c>
      <c r="AC30" s="9">
        <f t="shared" si="4"/>
        <v>148.87376299195171</v>
      </c>
      <c r="AD30" s="9">
        <f>'M2DU Measurement'!$G$7*(SQRT(1+((-'M2DU Measurement'!$G$9+AC30)^2/'M2DU Measurement'!$G$10^2)))</f>
        <v>72.302645435706197</v>
      </c>
      <c r="AE30" s="9">
        <f>'M2DU Measurement'!$G$7*(SQRT(1+((-'M2DU Measurement'!$G$9+AC30)^2/$C$10^2)))</f>
        <v>71.154671709769303</v>
      </c>
    </row>
    <row r="31" spans="1:31" x14ac:dyDescent="0.35">
      <c r="A31" s="53" t="b">
        <f>IF(A35=TRUE,FALSE,D19&lt;E19)</f>
        <v>0</v>
      </c>
      <c r="B31" s="53" t="str">
        <f>IF(A31=TRUE,"Rayleigh length too long. ","")</f>
        <v/>
      </c>
      <c r="C31" s="53" t="str">
        <f>IF(A31=TRUE,IF('M2DU Measurement'!C10="Yes",IF('M2DU Measurement'!G4&gt;2000,"This can be fixed by increasing input beam diameter, decreasing lens focal length, or using a longer stage. ","This can be fixed by increasing input beam diameter, increasing input waist to lens distance, decreasing lens focal length, or using a longer stage. "),"This can be fixed by decreasing input beam waist diameter, using a longer stage, or using a lens. "),"")</f>
        <v/>
      </c>
      <c r="D31" s="53"/>
      <c r="E31" s="53"/>
      <c r="F31" s="53"/>
      <c r="G31" s="53"/>
      <c r="H31" s="53"/>
      <c r="I31" s="53"/>
      <c r="J31" s="3">
        <v>29</v>
      </c>
      <c r="K31" s="8">
        <f>$K$2+('M2DU Measurement'!$C$8+'M2DU Measurement'!$G$23)*J31/60</f>
        <v>-65.384203155319099</v>
      </c>
      <c r="L31" s="9">
        <f t="shared" si="0"/>
        <v>84.55296424207269</v>
      </c>
      <c r="M31" s="9">
        <f>L31-'M2DU Measurement'!$G$23</f>
        <v>-40.384203155319099</v>
      </c>
      <c r="N31" s="30">
        <f>'M2DU Measurement'!$G$7*(SQRT(1+((-'M2DU Measurement'!$G$9+L31)^2/'M2DU Measurement'!$G$10^2)))</f>
        <v>874.72821934246087</v>
      </c>
      <c r="O31" s="8">
        <f t="shared" si="5"/>
        <v>-437.36410967123044</v>
      </c>
      <c r="P31" s="8">
        <f t="shared" si="1"/>
        <v>437.36410967123044</v>
      </c>
      <c r="Q31" s="1"/>
      <c r="S31" s="9">
        <f>J31*'M2DU Measurement'!$C$8/60</f>
        <v>24.166666666666668</v>
      </c>
      <c r="T31" s="9">
        <f t="shared" si="2"/>
        <v>149.10383406405845</v>
      </c>
      <c r="U31" s="9">
        <f>'M2DU Measurement'!$G$7*(SQRT(1+((-'M2DU Measurement'!$G$9+T31)^2/'M2DU Measurement'!$G$10^2)))</f>
        <v>71.764073457485381</v>
      </c>
      <c r="V31" s="9">
        <f t="shared" si="6"/>
        <v>-35.88203672874269</v>
      </c>
      <c r="W31" s="9">
        <f t="shared" si="7"/>
        <v>35.88203672874269</v>
      </c>
      <c r="Y31" s="9">
        <f>'M2DU Measurement'!$G$7*(SQRT(1+((-'M2DU Measurement'!$G$9+T31)^2/$C$10^2)))</f>
        <v>71.05595463845799</v>
      </c>
      <c r="Z31">
        <f t="shared" si="3"/>
        <v>55</v>
      </c>
      <c r="AB31" s="25">
        <f t="shared" si="8"/>
        <v>24.468297797279952</v>
      </c>
      <c r="AC31" s="9">
        <f t="shared" si="4"/>
        <v>149.40546519467173</v>
      </c>
      <c r="AD31" s="9">
        <f>'M2DU Measurement'!$G$7*(SQRT(1+((-'M2DU Measurement'!$G$9+AC31)^2/'M2DU Measurement'!$G$10^2)))</f>
        <v>71.252187971611065</v>
      </c>
      <c r="AE31" s="9">
        <f>'M2DU Measurement'!$G$7*(SQRT(1+((-'M2DU Measurement'!$G$9+AC31)^2/$C$10^2)))</f>
        <v>70.96268725902857</v>
      </c>
    </row>
    <row r="32" spans="1:31" x14ac:dyDescent="0.35">
      <c r="A32" s="53" t="b">
        <f>IF(A35=TRUE,FALSE,'M2DU Measurement'!G7&lt;'M2DU Measurement'!G13)</f>
        <v>0</v>
      </c>
      <c r="B32" s="53" t="str">
        <f>IF(A32=TRUE,"Output waist too small. ","")</f>
        <v/>
      </c>
      <c r="C32" s="53" t="str">
        <f>IF(A32=TRUE,IF('M2DU Measurement'!C10="Yes",IF('M2DU Measurement'!G4&gt;2000,"This can be fixed by decreasing input beam diameter, increasing lens focal length, or choosing a profiler with higher resolution. ","This can be fixed by decreasing input beam diameter, decreasing input beam waist to lens distance, increasing lens focal length, or choosing a profiler with higher resolution. "),"This can be fixed by increasing the input beam waist diameter, using a lens, or choosing a profiler with higher resolution. "),"")</f>
        <v/>
      </c>
      <c r="D32" s="53"/>
      <c r="E32" s="53"/>
      <c r="F32" s="53"/>
      <c r="G32" s="53"/>
      <c r="H32" s="53"/>
      <c r="I32" s="53"/>
      <c r="J32" s="3">
        <v>30</v>
      </c>
      <c r="K32" s="8">
        <f>$K$2+('M2DU Measurement'!$C$8+'M2DU Measurement'!$G$23)*J32/60</f>
        <v>-62.468583698695895</v>
      </c>
      <c r="L32" s="9">
        <f t="shared" si="0"/>
        <v>87.468583698695895</v>
      </c>
      <c r="M32" s="9">
        <f>L32-'M2DU Measurement'!$G$23</f>
        <v>-37.468583698695895</v>
      </c>
      <c r="N32" s="30">
        <f>'M2DU Measurement'!$G$7*(SQRT(1+((-'M2DU Measurement'!$G$9+L32)^2/'M2DU Measurement'!$G$10^2)))</f>
        <v>835.98443050849312</v>
      </c>
      <c r="O32" s="8">
        <f t="shared" si="5"/>
        <v>-417.99221525424656</v>
      </c>
      <c r="P32" s="8">
        <f t="shared" si="1"/>
        <v>417.99221525424656</v>
      </c>
      <c r="Q32" s="1"/>
      <c r="S32" s="9">
        <f>J32*'M2DU Measurement'!$C$8/60</f>
        <v>25</v>
      </c>
      <c r="T32" s="9">
        <f t="shared" si="2"/>
        <v>149.93716739739179</v>
      </c>
      <c r="U32" s="9">
        <f>'M2DU Measurement'!$G$7*(SQRT(1+((-'M2DU Measurement'!$G$9+T32)^2/'M2DU Measurement'!$G$10^2)))</f>
        <v>70.898576915585849</v>
      </c>
      <c r="V32" s="9">
        <f t="shared" si="6"/>
        <v>-35.449288457792925</v>
      </c>
      <c r="W32" s="9">
        <f t="shared" si="7"/>
        <v>35.449288457792925</v>
      </c>
      <c r="Y32" s="9">
        <f>'M2DU Measurement'!$G$7*(SQRT(1+((-'M2DU Measurement'!$G$9+T32)^2/$C$10^2)))</f>
        <v>70.898576915585849</v>
      </c>
      <c r="Z32">
        <f t="shared" si="3"/>
        <v>55</v>
      </c>
      <c r="AB32" s="25">
        <f t="shared" si="8"/>
        <v>25</v>
      </c>
      <c r="AC32" s="9">
        <f t="shared" si="4"/>
        <v>149.93716739739179</v>
      </c>
      <c r="AD32" s="9">
        <f>'M2DU Measurement'!$G$7*(SQRT(1+((-'M2DU Measurement'!$G$9+AC32)^2/'M2DU Measurement'!$G$10^2)))</f>
        <v>70.898576915585849</v>
      </c>
      <c r="AE32" s="9">
        <f>'M2DU Measurement'!$G$7*(SQRT(1+((-'M2DU Measurement'!$G$9+AC32)^2/$C$10^2)))</f>
        <v>70.898576915585849</v>
      </c>
    </row>
    <row r="33" spans="1:31" x14ac:dyDescent="0.35">
      <c r="A33" s="53" t="b">
        <f>IF(OR(A31=TRUE,A35=TRUE),FALSE,Sheet2!D18&gt;Sheet2!E18)</f>
        <v>0</v>
      </c>
      <c r="B33" s="53" t="str">
        <f>IF(A33=TRUE,"Need more working distance. ","")</f>
        <v/>
      </c>
      <c r="C33" s="53" t="str">
        <f>IF(A33=TRUE,IF('M2DU Measurement'!C10="Yes",IF('M2DU Measurement'!G4&gt;2000,"This can be fixed by increasing lens focal length. ","This can be fixed by increasing lens focal length or increasing input beamwaist to lens distance. "),"This can be fixed by increasing working distance or using a reimaging lens assembly. "),"")</f>
        <v/>
      </c>
      <c r="D33" s="53"/>
      <c r="E33" s="53"/>
      <c r="F33" s="53"/>
      <c r="G33" s="53"/>
      <c r="H33" s="53"/>
      <c r="I33" s="53"/>
      <c r="J33" s="3">
        <v>31</v>
      </c>
      <c r="K33" s="8">
        <f>$K$2+('M2DU Measurement'!$C$8+'M2DU Measurement'!$G$23)*J33/60</f>
        <v>-59.552964242072704</v>
      </c>
      <c r="L33" s="9">
        <f t="shared" si="0"/>
        <v>90.384203155319085</v>
      </c>
      <c r="M33" s="9">
        <f>L33-'M2DU Measurement'!$G$23</f>
        <v>-34.552964242072704</v>
      </c>
      <c r="N33" s="30">
        <f>'M2DU Measurement'!$G$7*(SQRT(1+((-'M2DU Measurement'!$G$9+L33)^2/'M2DU Measurement'!$G$10^2)))</f>
        <v>797.25367370446884</v>
      </c>
      <c r="O33" s="8">
        <f t="shared" si="5"/>
        <v>-398.62683685223442</v>
      </c>
      <c r="P33" s="8">
        <f t="shared" si="1"/>
        <v>398.62683685223442</v>
      </c>
      <c r="Q33" s="1"/>
      <c r="S33" s="9">
        <f>J33*'M2DU Measurement'!$C$8/60</f>
        <v>25.833333333333332</v>
      </c>
      <c r="T33" s="9">
        <f t="shared" si="2"/>
        <v>150.77050073072513</v>
      </c>
      <c r="U33" s="9">
        <f>'M2DU Measurement'!$G$7*(SQRT(1+((-'M2DU Measurement'!$G$9+T33)^2/'M2DU Measurement'!$G$10^2)))</f>
        <v>71.764073457485381</v>
      </c>
      <c r="V33" s="9">
        <f t="shared" si="6"/>
        <v>-35.88203672874269</v>
      </c>
      <c r="W33" s="9">
        <f t="shared" si="7"/>
        <v>35.88203672874269</v>
      </c>
      <c r="Y33" s="9">
        <f>'M2DU Measurement'!$G$7*(SQRT(1+((-'M2DU Measurement'!$G$9+T33)^2/$C$10^2)))</f>
        <v>71.05595463845799</v>
      </c>
      <c r="Z33">
        <f t="shared" si="3"/>
        <v>55</v>
      </c>
      <c r="AB33" s="25">
        <f t="shared" si="8"/>
        <v>25.531702202720052</v>
      </c>
      <c r="AC33" s="9">
        <f t="shared" si="4"/>
        <v>150.46886960011184</v>
      </c>
      <c r="AD33" s="9">
        <f>'M2DU Measurement'!$G$7*(SQRT(1+((-'M2DU Measurement'!$G$9+AC33)^2/'M2DU Measurement'!$G$10^2)))</f>
        <v>71.252187971611065</v>
      </c>
      <c r="AE33" s="9">
        <f>'M2DU Measurement'!$G$7*(SQRT(1+((-'M2DU Measurement'!$G$9+AC33)^2/$C$10^2)))</f>
        <v>70.96268725902857</v>
      </c>
    </row>
    <row r="34" spans="1:31" x14ac:dyDescent="0.35">
      <c r="A34" s="53" t="b">
        <f>IF(A35=TRUE,FALSE,'M2DU Measurement'!G17&lt;2.5)</f>
        <v>0</v>
      </c>
      <c r="B34" s="53" t="str">
        <f>IF(A34=TRUE,"The stage step size is too large to adequately sample the beam. ","")</f>
        <v/>
      </c>
      <c r="C34" s="53" t="str">
        <f>IF(A34=TRUE,IF('M2DU Measurement'!C10="Yes",IF(AND('M2DU Measurement'!G4&gt;2000,'M2DU Measurement'!C12&lt;1000),"This can be fixed by decreasing input beam diameter or increasing lens focal length.","This can be fixed by decreasing input beam diameter, decreasing input beam waist to lens distance, increasing lens focal length, or choosing a profiler with higher resolution."),"This can be fixed by increasing the input beam waist diameter, or using a lens."),"")</f>
        <v/>
      </c>
      <c r="D34" s="53"/>
      <c r="E34" s="53"/>
      <c r="F34" s="53"/>
      <c r="G34" s="53"/>
      <c r="H34" s="53"/>
      <c r="I34" s="53"/>
      <c r="J34" s="3">
        <v>32</v>
      </c>
      <c r="K34" s="8">
        <f>$K$2+('M2DU Measurement'!$C$8+'M2DU Measurement'!$G$23)*J34/60</f>
        <v>-56.6373447854495</v>
      </c>
      <c r="L34" s="9">
        <f t="shared" ref="L34:L62" si="9">K34-$K$2</f>
        <v>93.29982261194229</v>
      </c>
      <c r="M34" s="9">
        <f>L34-'M2DU Measurement'!$G$23</f>
        <v>-31.6373447854495</v>
      </c>
      <c r="N34" s="30">
        <f>'M2DU Measurement'!$G$7*(SQRT(1+((-'M2DU Measurement'!$G$9+L34)^2/'M2DU Measurement'!$G$10^2)))</f>
        <v>758.53794516953303</v>
      </c>
      <c r="O34" s="8">
        <f t="shared" ref="O34:O62" si="10">-N34/2</f>
        <v>-379.26897258476652</v>
      </c>
      <c r="P34" s="8">
        <f t="shared" ref="P34:P62" si="11">N34/2</f>
        <v>379.26897258476652</v>
      </c>
      <c r="Q34" s="1"/>
      <c r="S34" s="9">
        <f>J34*'M2DU Measurement'!$C$8/60</f>
        <v>26.666666666666668</v>
      </c>
      <c r="T34" s="9">
        <f t="shared" ref="T34:T62" si="12">-$M$2+S34</f>
        <v>151.60383406405845</v>
      </c>
      <c r="U34" s="9">
        <f>'M2DU Measurement'!$G$7*(SQRT(1+((-'M2DU Measurement'!$G$9+T34)^2/'M2DU Measurement'!$G$10^2)))</f>
        <v>74.300096439235404</v>
      </c>
      <c r="V34" s="9">
        <f t="shared" si="6"/>
        <v>-37.150048219617702</v>
      </c>
      <c r="W34" s="9">
        <f t="shared" si="7"/>
        <v>37.150048219617702</v>
      </c>
      <c r="Y34" s="9">
        <f>'M2DU Measurement'!$G$7*(SQRT(1+((-'M2DU Measurement'!$G$9+T34)^2/$C$10^2)))</f>
        <v>71.526010180665523</v>
      </c>
      <c r="Z34">
        <f t="shared" ref="Z34:Z62" si="13">$D$67</f>
        <v>55</v>
      </c>
      <c r="AB34" s="25">
        <f t="shared" si="8"/>
        <v>26.0634044054401</v>
      </c>
      <c r="AC34" s="9">
        <f t="shared" ref="AC34:AC62" si="14">-$M$2+AB34</f>
        <v>151.0005718028319</v>
      </c>
      <c r="AD34" s="9">
        <f>'M2DU Measurement'!$G$7*(SQRT(1+((-'M2DU Measurement'!$G$9+AC34)^2/'M2DU Measurement'!$G$10^2)))</f>
        <v>72.302645435706282</v>
      </c>
      <c r="AE34" s="9">
        <f>'M2DU Measurement'!$G$7*(SQRT(1+((-'M2DU Measurement'!$G$9+AC34)^2/$C$10^2)))</f>
        <v>71.154671709769318</v>
      </c>
    </row>
    <row r="35" spans="1:31" x14ac:dyDescent="0.35">
      <c r="A35" s="53" t="b">
        <f>OR('M2DU Measurement'!C3&lt;Sheet2!G67,'M2DU Measurement'!C3&gt;Sheet2!H67)</f>
        <v>0</v>
      </c>
      <c r="B35" s="53" t="str">
        <f>IF(A35=TRUE,"The "&amp;'M2DU Measurement'!C7&amp;" wavelength range is "&amp;Sheet2!G67&amp;" to "&amp;Sheet2!H67&amp;" nm. ","")</f>
        <v/>
      </c>
      <c r="C35" s="53" t="str">
        <f>IF(A35=TRUE,"Choose a different profiler.","")</f>
        <v/>
      </c>
      <c r="D35" s="53"/>
      <c r="E35" s="53"/>
      <c r="F35" s="53"/>
      <c r="G35" s="53"/>
      <c r="H35" s="53"/>
      <c r="I35" s="53"/>
      <c r="J35" s="3">
        <v>33</v>
      </c>
      <c r="K35" s="8">
        <f>$K$2+('M2DU Measurement'!$C$8+'M2DU Measurement'!$G$23)*J35/60</f>
        <v>-53.721725328826309</v>
      </c>
      <c r="L35" s="9">
        <f t="shared" si="9"/>
        <v>96.21544206856548</v>
      </c>
      <c r="M35" s="9">
        <f>L35-'M2DU Measurement'!$G$23</f>
        <v>-28.721725328826309</v>
      </c>
      <c r="N35" s="30">
        <f>'M2DU Measurement'!$G$7*(SQRT(1+((-'M2DU Measurement'!$G$9+L35)^2/'M2DU Measurement'!$G$10^2)))</f>
        <v>719.83966974101122</v>
      </c>
      <c r="O35" s="8">
        <f t="shared" si="10"/>
        <v>-359.91983487050561</v>
      </c>
      <c r="P35" s="8">
        <f t="shared" si="11"/>
        <v>359.91983487050561</v>
      </c>
      <c r="Q35" s="1"/>
      <c r="S35" s="9">
        <f>J35*'M2DU Measurement'!$C$8/60</f>
        <v>27.5</v>
      </c>
      <c r="T35" s="9">
        <f t="shared" si="12"/>
        <v>152.43716739739179</v>
      </c>
      <c r="U35" s="9">
        <f>'M2DU Measurement'!$G$7*(SQRT(1+((-'M2DU Measurement'!$G$9+T35)^2/'M2DU Measurement'!$G$10^2)))</f>
        <v>78.344588094266228</v>
      </c>
      <c r="V35" s="9">
        <f t="shared" si="6"/>
        <v>-39.172294047133114</v>
      </c>
      <c r="W35" s="9">
        <f t="shared" si="7"/>
        <v>39.172294047133114</v>
      </c>
      <c r="Y35" s="9">
        <f>'M2DU Measurement'!$G$7*(SQRT(1+((-'M2DU Measurement'!$G$9+T35)^2/$C$10^2)))</f>
        <v>72.302645435706239</v>
      </c>
      <c r="Z35">
        <f t="shared" si="13"/>
        <v>55</v>
      </c>
      <c r="AB35" s="25">
        <f t="shared" ref="AB35:AB61" si="15">$AB$2+($AB$62-$AB$2)/60*J35</f>
        <v>26.595106608160147</v>
      </c>
      <c r="AC35" s="9">
        <f t="shared" si="14"/>
        <v>151.53227400555193</v>
      </c>
      <c r="AD35" s="9">
        <f>'M2DU Measurement'!$G$7*(SQRT(1+((-'M2DU Measurement'!$G$9+AC35)^2/'M2DU Measurement'!$G$10^2)))</f>
        <v>74.020287404428572</v>
      </c>
      <c r="AE35" s="9">
        <f>'M2DU Measurement'!$G$7*(SQRT(1+((-'M2DU Measurement'!$G$9+AC35)^2/$C$10^2)))</f>
        <v>71.473499830092976</v>
      </c>
    </row>
    <row r="36" spans="1:31" x14ac:dyDescent="0.35">
      <c r="A36" s="53" t="b">
        <f>IF(A35=TRUE,FALSE,AD62&gt;E67)</f>
        <v>0</v>
      </c>
      <c r="B36" s="53" t="str">
        <f>IF(A36=TRUE,"Far-field beam too large. ","")</f>
        <v/>
      </c>
      <c r="C36" s="53"/>
      <c r="D36" s="53"/>
      <c r="E36" s="53"/>
      <c r="F36" s="53"/>
      <c r="G36" s="53"/>
      <c r="H36" s="53"/>
      <c r="I36" s="53"/>
      <c r="J36" s="3">
        <v>34</v>
      </c>
      <c r="K36" s="8">
        <f>$K$2+('M2DU Measurement'!$C$8+'M2DU Measurement'!$G$23)*J36/60</f>
        <v>-50.806105872203105</v>
      </c>
      <c r="L36" s="9">
        <f t="shared" si="9"/>
        <v>99.131061525188684</v>
      </c>
      <c r="M36" s="9">
        <f>L36-'M2DU Measurement'!$G$23</f>
        <v>-25.806105872203105</v>
      </c>
      <c r="N36" s="30">
        <f>'M2DU Measurement'!$G$7*(SQRT(1+((-'M2DU Measurement'!$G$9+L36)^2/'M2DU Measurement'!$G$10^2)))</f>
        <v>681.1618220714978</v>
      </c>
      <c r="O36" s="8">
        <f t="shared" si="10"/>
        <v>-340.5809110357489</v>
      </c>
      <c r="P36" s="8">
        <f t="shared" si="11"/>
        <v>340.5809110357489</v>
      </c>
      <c r="Q36" s="1"/>
      <c r="S36" s="9">
        <f>J36*'M2DU Measurement'!$C$8/60</f>
        <v>28.333333333333332</v>
      </c>
      <c r="T36" s="9">
        <f t="shared" si="12"/>
        <v>153.27050073072513</v>
      </c>
      <c r="U36" s="9">
        <f>'M2DU Measurement'!$G$7*(SQRT(1+((-'M2DU Measurement'!$G$9+T36)^2/'M2DU Measurement'!$G$10^2)))</f>
        <v>83.67910550163063</v>
      </c>
      <c r="V36" s="9">
        <f t="shared" si="6"/>
        <v>-41.839552750815315</v>
      </c>
      <c r="W36" s="9">
        <f t="shared" si="7"/>
        <v>41.839552750815315</v>
      </c>
      <c r="Y36" s="9">
        <f>'M2DU Measurement'!$G$7*(SQRT(1+((-'M2DU Measurement'!$G$9+T36)^2/$C$10^2)))</f>
        <v>73.376126250252213</v>
      </c>
      <c r="Z36">
        <f t="shared" si="13"/>
        <v>55</v>
      </c>
      <c r="AB36" s="25">
        <f t="shared" si="15"/>
        <v>27.126808810880199</v>
      </c>
      <c r="AC36" s="9">
        <f t="shared" si="14"/>
        <v>152.06397620827198</v>
      </c>
      <c r="AD36" s="9">
        <f>'M2DU Measurement'!$G$7*(SQRT(1+((-'M2DU Measurement'!$G$9+AC36)^2/'M2DU Measurement'!$G$10^2)))</f>
        <v>76.360104256346318</v>
      </c>
      <c r="AE36" s="9">
        <f>'M2DU Measurement'!$G$7*(SQRT(1+((-'M2DU Measurement'!$G$9+AC36)^2/$C$10^2)))</f>
        <v>71.917484651053087</v>
      </c>
    </row>
    <row r="37" spans="1:31" x14ac:dyDescent="0.35">
      <c r="A37" s="53" t="b">
        <f ca="1">IF(ISERROR(Sheet2!G98),TRUE,FALSE)</f>
        <v>0</v>
      </c>
      <c r="B37" s="53" t="str">
        <f ca="1">IF(A37=TRUE,"Invalid focal length selection. Please choose a different focal length or choose Custom. ","")</f>
        <v/>
      </c>
      <c r="C37" s="53"/>
      <c r="D37" s="53"/>
      <c r="E37" s="53"/>
      <c r="F37" s="53"/>
      <c r="G37" s="53"/>
      <c r="H37" s="53"/>
      <c r="I37" s="53"/>
      <c r="J37" s="3">
        <v>35</v>
      </c>
      <c r="K37" s="8">
        <f>$K$2+('M2DU Measurement'!$C$8+'M2DU Measurement'!$G$23)*J37/60</f>
        <v>-47.8904864155799</v>
      </c>
      <c r="L37" s="9">
        <f t="shared" si="9"/>
        <v>102.04668098181189</v>
      </c>
      <c r="M37" s="9">
        <f>L37-'M2DU Measurement'!$G$23</f>
        <v>-22.8904864155799</v>
      </c>
      <c r="N37" s="30">
        <f>'M2DU Measurement'!$G$7*(SQRT(1+((-'M2DU Measurement'!$G$9+L37)^2/'M2DU Measurement'!$G$10^2)))</f>
        <v>642.50809131618098</v>
      </c>
      <c r="O37" s="8">
        <f t="shared" si="10"/>
        <v>-321.25404565809049</v>
      </c>
      <c r="P37" s="8">
        <f t="shared" si="11"/>
        <v>321.25404565809049</v>
      </c>
      <c r="Q37" s="1"/>
      <c r="S37" s="9">
        <f>J37*'M2DU Measurement'!$C$8/60</f>
        <v>29.166666666666668</v>
      </c>
      <c r="T37" s="9">
        <f t="shared" si="12"/>
        <v>154.10383406405845</v>
      </c>
      <c r="U37" s="9">
        <f>'M2DU Measurement'!$G$7*(SQRT(1+((-'M2DU Measurement'!$G$9+T37)^2/'M2DU Measurement'!$G$10^2)))</f>
        <v>90.074741035198116</v>
      </c>
      <c r="V37" s="9">
        <f t="shared" si="6"/>
        <v>-45.037370517599058</v>
      </c>
      <c r="W37" s="9">
        <f t="shared" si="7"/>
        <v>45.037370517599058</v>
      </c>
      <c r="Y37" s="9">
        <f>'M2DU Measurement'!$G$7*(SQRT(1+((-'M2DU Measurement'!$G$9+T37)^2/$C$10^2)))</f>
        <v>74.73366197262888</v>
      </c>
      <c r="Z37">
        <f t="shared" si="13"/>
        <v>55</v>
      </c>
      <c r="AB37" s="25">
        <f t="shared" si="15"/>
        <v>27.658511013600247</v>
      </c>
      <c r="AC37" s="9">
        <f t="shared" si="14"/>
        <v>152.59567841099204</v>
      </c>
      <c r="AD37" s="9">
        <f>'M2DU Measurement'!$G$7*(SQRT(1+((-'M2DU Measurement'!$G$9+AC37)^2/'M2DU Measurement'!$G$10^2)))</f>
        <v>79.267018745623687</v>
      </c>
      <c r="AE37" s="9">
        <f>'M2DU Measurement'!$G$7*(SQRT(1+((-'M2DU Measurement'!$G$9+AC37)^2/$C$10^2)))</f>
        <v>72.484326359851863</v>
      </c>
    </row>
    <row r="38" spans="1:31" x14ac:dyDescent="0.35">
      <c r="A38" s="53" t="b">
        <f ca="1">IF(CONCATENATE(B31,B32,B33,B34,B35,B36,B37)="",TRUE,FALSE)</f>
        <v>1</v>
      </c>
      <c r="B38" s="53" t="str">
        <f ca="1">IF(A38=TRUE,IF(AND(C11=TRUE,'M2DU Measurement'!C10="Yes"), "This is an acceptable configuration, but if the input beam waist has sufficient working distance it is recommended to not use a lens. ","This is an acceptable configuration. "),"")</f>
        <v xml:space="preserve">This is an acceptable configuration. </v>
      </c>
      <c r="C38" s="53"/>
      <c r="D38" s="53"/>
      <c r="E38" s="53"/>
      <c r="F38" s="53"/>
      <c r="G38" s="53"/>
      <c r="H38" s="53"/>
      <c r="I38" s="53"/>
      <c r="J38" s="3">
        <v>36</v>
      </c>
      <c r="K38" s="8">
        <f>$K$2+('M2DU Measurement'!$C$8+'M2DU Measurement'!$G$23)*J38/60</f>
        <v>-44.974866958956724</v>
      </c>
      <c r="L38" s="9">
        <f t="shared" si="9"/>
        <v>104.96230043843507</v>
      </c>
      <c r="M38" s="9">
        <f>L38-'M2DU Measurement'!$G$23</f>
        <v>-19.974866958956724</v>
      </c>
      <c r="N38" s="30">
        <f>'M2DU Measurement'!$G$7*(SQRT(1+((-'M2DU Measurement'!$G$9+L38)^2/'M2DU Measurement'!$G$10^2)))</f>
        <v>603.88310856476676</v>
      </c>
      <c r="O38" s="8">
        <f t="shared" si="10"/>
        <v>-301.94155428238338</v>
      </c>
      <c r="P38" s="8">
        <f t="shared" si="11"/>
        <v>301.94155428238338</v>
      </c>
      <c r="Q38" s="1"/>
      <c r="S38" s="9">
        <f>J38*'M2DU Measurement'!$C$8/60</f>
        <v>30</v>
      </c>
      <c r="T38" s="9">
        <f t="shared" si="12"/>
        <v>154.93716739739179</v>
      </c>
      <c r="U38" s="9">
        <f>'M2DU Measurement'!$G$7*(SQRT(1+((-'M2DU Measurement'!$G$9+T38)^2/'M2DU Measurement'!$G$10^2)))</f>
        <v>97.322522103957198</v>
      </c>
      <c r="V38" s="9">
        <f t="shared" si="6"/>
        <v>-48.661261051978599</v>
      </c>
      <c r="W38" s="9">
        <f t="shared" si="7"/>
        <v>48.661261051978599</v>
      </c>
      <c r="Y38" s="9">
        <f>'M2DU Measurement'!$G$7*(SQRT(1+((-'M2DU Measurement'!$G$9+T38)^2/$C$10^2)))</f>
        <v>76.360104256346332</v>
      </c>
      <c r="Z38">
        <f t="shared" si="13"/>
        <v>55</v>
      </c>
      <c r="AB38" s="25">
        <f t="shared" si="15"/>
        <v>28.190213216320299</v>
      </c>
      <c r="AC38" s="9">
        <f t="shared" si="14"/>
        <v>153.12738061371209</v>
      </c>
      <c r="AD38" s="9">
        <f>'M2DU Measurement'!$G$7*(SQRT(1+((-'M2DU Measurement'!$G$9+AC38)^2/'M2DU Measurement'!$G$10^2)))</f>
        <v>82.681238281554172</v>
      </c>
      <c r="AE38" s="9">
        <f>'M2DU Measurement'!$G$7*(SQRT(1+((-'M2DU Measurement'!$G$9+AC38)^2/$C$10^2)))</f>
        <v>73.171169772550954</v>
      </c>
    </row>
    <row r="39" spans="1:31" x14ac:dyDescent="0.35">
      <c r="A39" s="53"/>
      <c r="B39" t="str">
        <f ca="1">IF(AND('M2DU Measurement'!C10=Sheet2!B2,'M2DU Measurement'!C11=Sheet2!C83,A38=TRUE,ISERROR(H98)),"This configuration requires a non-standard lens assembly; contact support@dataray.com for availability. ","")</f>
        <v/>
      </c>
      <c r="C39" s="53"/>
      <c r="D39" s="53"/>
      <c r="E39" s="53"/>
      <c r="F39" s="53"/>
      <c r="G39" s="53"/>
      <c r="H39" s="53"/>
      <c r="I39" s="53"/>
      <c r="J39" s="3">
        <v>37</v>
      </c>
      <c r="K39" s="8">
        <f>$K$2+('M2DU Measurement'!$C$8+'M2DU Measurement'!$G$23)*J39/60</f>
        <v>-42.05924750233352</v>
      </c>
      <c r="L39" s="9">
        <f t="shared" si="9"/>
        <v>107.87791989505827</v>
      </c>
      <c r="M39" s="9">
        <f>L39-'M2DU Measurement'!$G$23</f>
        <v>-17.05924750233352</v>
      </c>
      <c r="N39" s="30">
        <f>'M2DU Measurement'!$G$7*(SQRT(1+((-'M2DU Measurement'!$G$9+L39)^2/'M2DU Measurement'!$G$10^2)))</f>
        <v>565.29276667671388</v>
      </c>
      <c r="O39" s="8">
        <f t="shared" si="10"/>
        <v>-282.64638333835694</v>
      </c>
      <c r="P39" s="8">
        <f t="shared" si="11"/>
        <v>282.64638333835694</v>
      </c>
      <c r="Q39" s="1"/>
      <c r="S39" s="9">
        <f>J39*'M2DU Measurement'!$C$8/60</f>
        <v>30.833333333333332</v>
      </c>
      <c r="T39" s="9">
        <f t="shared" si="12"/>
        <v>155.77050073072513</v>
      </c>
      <c r="U39" s="9">
        <f>'M2DU Measurement'!$G$7*(SQRT(1+((-'M2DU Measurement'!$G$9+T39)^2/'M2DU Measurement'!$G$10^2)))</f>
        <v>105.24654723982492</v>
      </c>
      <c r="V39" s="9">
        <f t="shared" si="6"/>
        <v>-52.62327361991246</v>
      </c>
      <c r="W39" s="9">
        <f t="shared" si="7"/>
        <v>52.62327361991246</v>
      </c>
      <c r="Y39" s="9">
        <f>'M2DU Measurement'!$G$7*(SQRT(1+((-'M2DU Measurement'!$G$9+T39)^2/$C$10^2)))</f>
        <v>78.238684639350382</v>
      </c>
      <c r="Z39">
        <f t="shared" si="13"/>
        <v>55</v>
      </c>
      <c r="AB39" s="25">
        <f t="shared" si="15"/>
        <v>28.721915419040347</v>
      </c>
      <c r="AC39" s="9">
        <f t="shared" si="14"/>
        <v>153.65908281643215</v>
      </c>
      <c r="AD39" s="9">
        <f>'M2DU Measurement'!$G$7*(SQRT(1+((-'M2DU Measurement'!$G$9+AC39)^2/'M2DU Measurement'!$G$10^2)))</f>
        <v>86.542742219647337</v>
      </c>
      <c r="AE39" s="9">
        <f>'M2DU Measurement'!$G$7*(SQRT(1+((-'M2DU Measurement'!$G$9+AC39)^2/$C$10^2)))</f>
        <v>73.974672372781342</v>
      </c>
    </row>
    <row r="40" spans="1:31" x14ac:dyDescent="0.35">
      <c r="A40" s="53"/>
      <c r="B40" s="53" t="str">
        <f ca="1">CONCATENATE(B37,B31,C31,B32,C32,B33,C33,B34,C34,B35,C35,B36,C36,B38,B39)</f>
        <v xml:space="preserve">This is an acceptable configuration. </v>
      </c>
      <c r="C40" s="53"/>
      <c r="D40" s="53"/>
      <c r="E40" s="53"/>
      <c r="F40" s="53"/>
      <c r="G40" s="53"/>
      <c r="H40" s="53"/>
      <c r="I40" s="53"/>
      <c r="J40" s="3">
        <v>38</v>
      </c>
      <c r="K40" s="8">
        <f>$K$2+('M2DU Measurement'!$C$8+'M2DU Measurement'!$G$23)*J40/60</f>
        <v>-39.143628045710329</v>
      </c>
      <c r="L40" s="9">
        <f t="shared" si="9"/>
        <v>110.79353935168146</v>
      </c>
      <c r="M40" s="9">
        <f>L40-'M2DU Measurement'!$G$23</f>
        <v>-14.143628045710329</v>
      </c>
      <c r="N40" s="30">
        <f>'M2DU Measurement'!$G$7*(SQRT(1+((-'M2DU Measurement'!$G$9+L40)^2/'M2DU Measurement'!$G$10^2)))</f>
        <v>526.74467927855324</v>
      </c>
      <c r="O40" s="8">
        <f t="shared" si="10"/>
        <v>-263.37233963927662</v>
      </c>
      <c r="P40" s="8">
        <f t="shared" si="11"/>
        <v>263.37233963927662</v>
      </c>
      <c r="Q40" s="1"/>
      <c r="S40" s="9">
        <f>J40*'M2DU Measurement'!$C$8/60</f>
        <v>31.666666666666668</v>
      </c>
      <c r="T40" s="9">
        <f t="shared" si="12"/>
        <v>156.60383406405845</v>
      </c>
      <c r="U40" s="9">
        <f>'M2DU Measurement'!$G$7*(SQRT(1+((-'M2DU Measurement'!$G$9+T40)^2/'M2DU Measurement'!$G$10^2)))</f>
        <v>113.70552389504356</v>
      </c>
      <c r="V40" s="9">
        <f t="shared" si="6"/>
        <v>-56.852761947521778</v>
      </c>
      <c r="W40" s="9">
        <f t="shared" si="7"/>
        <v>56.852761947521778</v>
      </c>
      <c r="Y40" s="9">
        <f>'M2DU Measurement'!$G$7*(SQRT(1+((-'M2DU Measurement'!$G$9+T40)^2/$C$10^2)))</f>
        <v>80.351720504330601</v>
      </c>
      <c r="Z40">
        <f t="shared" si="13"/>
        <v>55</v>
      </c>
      <c r="AB40" s="25">
        <f t="shared" si="15"/>
        <v>29.253617621760394</v>
      </c>
      <c r="AC40" s="9">
        <f t="shared" si="14"/>
        <v>154.19078501915217</v>
      </c>
      <c r="AD40" s="9">
        <f>'M2DU Measurement'!$G$7*(SQRT(1+((-'M2DU Measurement'!$G$9+AC40)^2/'M2DU Measurement'!$G$10^2)))</f>
        <v>90.794479249536892</v>
      </c>
      <c r="AE40" s="9">
        <f>'M2DU Measurement'!$G$7*(SQRT(1+((-'M2DU Measurement'!$G$9+AC40)^2/$C$10^2)))</f>
        <v>74.891079363113064</v>
      </c>
    </row>
    <row r="41" spans="1:31" x14ac:dyDescent="0.35">
      <c r="A41" s="53"/>
      <c r="B41" s="53"/>
      <c r="C41" s="53"/>
      <c r="D41" s="53"/>
      <c r="E41" s="53"/>
      <c r="F41" s="53"/>
      <c r="G41" s="53"/>
      <c r="H41" s="53"/>
      <c r="I41" s="53"/>
      <c r="J41" s="3">
        <v>39</v>
      </c>
      <c r="K41" s="8">
        <f>$K$2+('M2DU Measurement'!$C$8+'M2DU Measurement'!$G$23)*J41/60</f>
        <v>-36.228008589087125</v>
      </c>
      <c r="L41" s="9">
        <f t="shared" si="9"/>
        <v>113.70915880830466</v>
      </c>
      <c r="M41" s="9">
        <f>L41-'M2DU Measurement'!$G$23</f>
        <v>-11.228008589087125</v>
      </c>
      <c r="N41" s="30">
        <f>'M2DU Measurement'!$G$7*(SQRT(1+((-'M2DU Measurement'!$G$9+L41)^2/'M2DU Measurement'!$G$10^2)))</f>
        <v>488.24885466696423</v>
      </c>
      <c r="O41" s="8">
        <f t="shared" si="10"/>
        <v>-244.12442733348212</v>
      </c>
      <c r="P41" s="8">
        <f t="shared" si="11"/>
        <v>244.12442733348212</v>
      </c>
      <c r="Q41" s="1"/>
      <c r="S41" s="9">
        <f>J41*'M2DU Measurement'!$C$8/60</f>
        <v>32.5</v>
      </c>
      <c r="T41" s="9">
        <f t="shared" si="12"/>
        <v>157.43716739739179</v>
      </c>
      <c r="U41" s="9">
        <f>'M2DU Measurement'!$G$7*(SQRT(1+((-'M2DU Measurement'!$G$9+T41)^2/'M2DU Measurement'!$G$10^2)))</f>
        <v>122.58876246907884</v>
      </c>
      <c r="V41" s="9">
        <f t="shared" si="6"/>
        <v>-61.294381234539422</v>
      </c>
      <c r="W41" s="9">
        <f t="shared" si="7"/>
        <v>61.294381234539422</v>
      </c>
      <c r="Y41" s="9">
        <f>'M2DU Measurement'!$G$7*(SQRT(1+((-'M2DU Measurement'!$G$9+T41)^2/$C$10^2)))</f>
        <v>82.681238281554101</v>
      </c>
      <c r="Z41">
        <f t="shared" si="13"/>
        <v>55</v>
      </c>
      <c r="AB41" s="25">
        <f t="shared" si="15"/>
        <v>29.785319824480446</v>
      </c>
      <c r="AC41" s="9">
        <f t="shared" si="14"/>
        <v>154.72248722187223</v>
      </c>
      <c r="AD41" s="9">
        <f>'M2DU Measurement'!$G$7*(SQRT(1+((-'M2DU Measurement'!$G$9+AC41)^2/'M2DU Measurement'!$G$10^2)))</f>
        <v>95.384279929483057</v>
      </c>
      <c r="AE41" s="9">
        <f>'M2DU Measurement'!$G$7*(SQRT(1+((-'M2DU Measurement'!$G$9+AC41)^2/$C$10^2)))</f>
        <v>75.916302151901235</v>
      </c>
    </row>
    <row r="42" spans="1:31" x14ac:dyDescent="0.35">
      <c r="A42" s="53"/>
      <c r="B42" s="53"/>
      <c r="C42" s="53"/>
      <c r="D42" s="53"/>
      <c r="E42" s="53"/>
      <c r="F42" s="53"/>
      <c r="G42" s="53"/>
      <c r="H42" s="53"/>
      <c r="I42" s="53"/>
      <c r="J42" s="3">
        <v>40</v>
      </c>
      <c r="K42" s="8">
        <f>$K$2+('M2DU Measurement'!$C$8+'M2DU Measurement'!$G$23)*J42/60</f>
        <v>-33.31238913246392</v>
      </c>
      <c r="L42" s="9">
        <f t="shared" si="9"/>
        <v>116.62477826492787</v>
      </c>
      <c r="M42" s="9">
        <f>L42-'M2DU Measurement'!$G$23</f>
        <v>-8.3123891324639203</v>
      </c>
      <c r="N42" s="30">
        <f>'M2DU Measurement'!$G$7*(SQRT(1+((-'M2DU Measurement'!$G$9+L42)^2/'M2DU Measurement'!$G$10^2)))</f>
        <v>449.81871110817883</v>
      </c>
      <c r="O42" s="8">
        <f t="shared" si="10"/>
        <v>-224.90935555408942</v>
      </c>
      <c r="P42" s="8">
        <f t="shared" si="11"/>
        <v>224.90935555408942</v>
      </c>
      <c r="Q42" s="1"/>
      <c r="S42" s="9">
        <f>J42*'M2DU Measurement'!$C$8/60</f>
        <v>33.333333333333336</v>
      </c>
      <c r="T42" s="9">
        <f t="shared" si="12"/>
        <v>158.27050073072513</v>
      </c>
      <c r="U42" s="9">
        <f>'M2DU Measurement'!$G$7*(SQRT(1+((-'M2DU Measurement'!$G$9+T42)^2/'M2DU Measurement'!$G$10^2)))</f>
        <v>131.81051272287186</v>
      </c>
      <c r="V42" s="9">
        <f t="shared" si="6"/>
        <v>-65.905256361435931</v>
      </c>
      <c r="W42" s="9">
        <f t="shared" si="7"/>
        <v>65.905256361435931</v>
      </c>
      <c r="Y42" s="9">
        <f>'M2DU Measurement'!$G$7*(SQRT(1+((-'M2DU Measurement'!$G$9+T42)^2/$C$10^2)))</f>
        <v>85.209484808857468</v>
      </c>
      <c r="Z42">
        <f t="shared" si="13"/>
        <v>55</v>
      </c>
      <c r="AB42" s="25">
        <f t="shared" si="15"/>
        <v>30.317022027200494</v>
      </c>
      <c r="AC42" s="9">
        <f t="shared" si="14"/>
        <v>155.25418942459228</v>
      </c>
      <c r="AD42" s="9">
        <f>'M2DU Measurement'!$G$7*(SQRT(1+((-'M2DU Measurement'!$G$9+AC42)^2/'M2DU Measurement'!$G$10^2)))</f>
        <v>100.26572902697359</v>
      </c>
      <c r="AE42" s="9">
        <f>'M2DU Measurement'!$G$7*(SQRT(1+((-'M2DU Measurement'!$G$9+AC42)^2/$C$10^2)))</f>
        <v>77.045996945982438</v>
      </c>
    </row>
    <row r="43" spans="1:31" x14ac:dyDescent="0.35">
      <c r="A43" s="53"/>
      <c r="B43" s="53"/>
      <c r="C43" s="53"/>
      <c r="D43" s="53"/>
      <c r="E43" s="53"/>
      <c r="F43" s="53"/>
      <c r="G43" s="53"/>
      <c r="H43" s="53"/>
      <c r="I43" s="53"/>
      <c r="J43" s="3">
        <v>41</v>
      </c>
      <c r="K43" s="8">
        <f>$K$2+('M2DU Measurement'!$C$8+'M2DU Measurement'!$G$23)*J43/60</f>
        <v>-30.39676967584073</v>
      </c>
      <c r="L43" s="9">
        <f t="shared" si="9"/>
        <v>119.54039772155106</v>
      </c>
      <c r="M43" s="9">
        <f>L43-'M2DU Measurement'!$G$23</f>
        <v>-5.39676967584073</v>
      </c>
      <c r="N43" s="30">
        <f>'M2DU Measurement'!$G$7*(SQRT(1+((-'M2DU Measurement'!$G$9+L43)^2/'M2DU Measurement'!$G$10^2)))</f>
        <v>411.47265217329891</v>
      </c>
      <c r="O43" s="8">
        <f t="shared" si="10"/>
        <v>-205.73632608664946</v>
      </c>
      <c r="P43" s="8">
        <f t="shared" si="11"/>
        <v>205.73632608664946</v>
      </c>
      <c r="Q43" s="1"/>
      <c r="S43" s="9">
        <f>J43*'M2DU Measurement'!$C$8/60</f>
        <v>34.166666666666664</v>
      </c>
      <c r="T43" s="9">
        <f t="shared" si="12"/>
        <v>159.10383406405845</v>
      </c>
      <c r="U43" s="9">
        <f>'M2DU Measurement'!$G$7*(SQRT(1+((-'M2DU Measurement'!$G$9+T43)^2/'M2DU Measurement'!$G$10^2)))</f>
        <v>141.30451481090276</v>
      </c>
      <c r="V43" s="9">
        <f t="shared" si="6"/>
        <v>-70.65225740545138</v>
      </c>
      <c r="W43" s="9">
        <f t="shared" si="7"/>
        <v>70.65225740545138</v>
      </c>
      <c r="Y43" s="9">
        <f>'M2DU Measurement'!$G$7*(SQRT(1+((-'M2DU Measurement'!$G$9+T43)^2/$C$10^2)))</f>
        <v>87.919317563692388</v>
      </c>
      <c r="Z43">
        <f t="shared" si="13"/>
        <v>55</v>
      </c>
      <c r="AB43" s="25">
        <f t="shared" si="15"/>
        <v>30.848724229920546</v>
      </c>
      <c r="AC43" s="9">
        <f t="shared" si="14"/>
        <v>155.78589162731234</v>
      </c>
      <c r="AD43" s="9">
        <f>'M2DU Measurement'!$G$7*(SQRT(1+((-'M2DU Measurement'!$G$9+AC43)^2/'M2DU Measurement'!$G$10^2)))</f>
        <v>105.3983118514149</v>
      </c>
      <c r="AE43" s="9">
        <f>'M2DU Measurement'!$G$7*(SQRT(1+((-'M2DU Measurement'!$G$9+AC43)^2/$C$10^2)))</f>
        <v>78.275640573021221</v>
      </c>
    </row>
    <row r="44" spans="1:31" x14ac:dyDescent="0.35">
      <c r="A44" s="53"/>
      <c r="B44" s="53"/>
      <c r="C44" s="53"/>
      <c r="D44" s="53"/>
      <c r="E44" s="53"/>
      <c r="F44" s="53"/>
      <c r="G44" s="53"/>
      <c r="H44" s="53"/>
      <c r="I44" s="53"/>
      <c r="J44" s="3">
        <v>42</v>
      </c>
      <c r="K44" s="8">
        <f>$K$2+('M2DU Measurement'!$C$8+'M2DU Measurement'!$G$23)*J44/60</f>
        <v>-27.48115021921754</v>
      </c>
      <c r="L44" s="9">
        <f t="shared" si="9"/>
        <v>122.45601717817425</v>
      </c>
      <c r="M44" s="9">
        <f>L44-'M2DU Measurement'!$G$23</f>
        <v>-2.4811502192175396</v>
      </c>
      <c r="N44" s="30">
        <f>'M2DU Measurement'!$G$7*(SQRT(1+((-'M2DU Measurement'!$G$9+L44)^2/'M2DU Measurement'!$G$10^2)))</f>
        <v>373.2365951432393</v>
      </c>
      <c r="O44" s="8">
        <f t="shared" si="10"/>
        <v>-186.61829757161965</v>
      </c>
      <c r="P44" s="8">
        <f t="shared" si="11"/>
        <v>186.61829757161965</v>
      </c>
      <c r="Q44" s="1"/>
      <c r="S44" s="9">
        <f>J44*'M2DU Measurement'!$C$8/60</f>
        <v>35</v>
      </c>
      <c r="T44" s="9">
        <f t="shared" si="12"/>
        <v>159.93716739739179</v>
      </c>
      <c r="U44" s="9">
        <f>'M2DU Measurement'!$G$7*(SQRT(1+((-'M2DU Measurement'!$G$9+T44)^2/'M2DU Measurement'!$G$10^2)))</f>
        <v>151.01943122901511</v>
      </c>
      <c r="V44" s="9">
        <f t="shared" si="6"/>
        <v>-75.509715614507556</v>
      </c>
      <c r="W44" s="9">
        <f t="shared" si="7"/>
        <v>75.509715614507556</v>
      </c>
      <c r="Y44" s="9">
        <f>'M2DU Measurement'!$G$7*(SQRT(1+((-'M2DU Measurement'!$G$9+T44)^2/$C$10^2)))</f>
        <v>90.794479249536963</v>
      </c>
      <c r="Z44">
        <f t="shared" si="13"/>
        <v>55</v>
      </c>
      <c r="AB44" s="25">
        <f t="shared" si="15"/>
        <v>31.380426432640594</v>
      </c>
      <c r="AC44" s="9">
        <f t="shared" si="14"/>
        <v>156.31759383003239</v>
      </c>
      <c r="AD44" s="9">
        <f>'M2DU Measurement'!$G$7*(SQRT(1+((-'M2DU Measurement'!$G$9+AC44)^2/'M2DU Measurement'!$G$10^2)))</f>
        <v>110.74711747543965</v>
      </c>
      <c r="AE44" s="9">
        <f>'M2DU Measurement'!$G$7*(SQRT(1+((-'M2DU Measurement'!$G$9+AC44)^2/$C$10^2)))</f>
        <v>79.600601238735493</v>
      </c>
    </row>
    <row r="45" spans="1:31" x14ac:dyDescent="0.35">
      <c r="A45" s="53"/>
      <c r="B45" s="53"/>
      <c r="C45" s="53"/>
      <c r="D45" s="53"/>
      <c r="E45" s="53"/>
      <c r="F45" s="53"/>
      <c r="G45" s="53"/>
      <c r="H45" s="53"/>
      <c r="I45" s="53"/>
      <c r="J45" s="3">
        <v>43</v>
      </c>
      <c r="K45" s="8">
        <f>$K$2+('M2DU Measurement'!$C$8+'M2DU Measurement'!$G$23)*J45/60</f>
        <v>-24.565530762594349</v>
      </c>
      <c r="L45" s="9">
        <f t="shared" si="9"/>
        <v>125.37163663479744</v>
      </c>
      <c r="M45" s="9">
        <f>L45-'M2DU Measurement'!$G$23</f>
        <v>0.43446923740565069</v>
      </c>
      <c r="N45" s="30">
        <f>'M2DU Measurement'!$G$7*(SQRT(1+((-'M2DU Measurement'!$G$9+L45)^2/'M2DU Measurement'!$G$10^2)))</f>
        <v>335.14819150010692</v>
      </c>
      <c r="O45" s="8">
        <f t="shared" si="10"/>
        <v>-167.57409575005346</v>
      </c>
      <c r="P45" s="8">
        <f t="shared" si="11"/>
        <v>167.57409575005346</v>
      </c>
      <c r="Q45" s="1"/>
      <c r="S45" s="9">
        <f>J45*'M2DU Measurement'!$C$8/60</f>
        <v>35.833333333333336</v>
      </c>
      <c r="T45" s="9">
        <f t="shared" si="12"/>
        <v>160.77050073072513</v>
      </c>
      <c r="U45" s="9">
        <f>'M2DU Measurement'!$G$7*(SQRT(1+((-'M2DU Measurement'!$G$9+T45)^2/'M2DU Measurement'!$G$10^2)))</f>
        <v>160.91525525144604</v>
      </c>
      <c r="V45" s="9">
        <f t="shared" si="6"/>
        <v>-80.457627625723021</v>
      </c>
      <c r="W45" s="9">
        <f t="shared" si="7"/>
        <v>80.457627625723021</v>
      </c>
      <c r="Y45" s="9">
        <f>'M2DU Measurement'!$G$7*(SQRT(1+((-'M2DU Measurement'!$G$9+T45)^2/$C$10^2)))</f>
        <v>93.819771292508065</v>
      </c>
      <c r="Z45">
        <f t="shared" si="13"/>
        <v>55</v>
      </c>
      <c r="AB45" s="25">
        <f t="shared" si="15"/>
        <v>31.912128635360641</v>
      </c>
      <c r="AC45" s="9">
        <f t="shared" si="14"/>
        <v>156.84929603275242</v>
      </c>
      <c r="AD45" s="9">
        <f>'M2DU Measurement'!$G$7*(SQRT(1+((-'M2DU Measurement'!$G$9+AC45)^2/'M2DU Measurement'!$G$10^2)))</f>
        <v>116.28231198803448</v>
      </c>
      <c r="AE45" s="9">
        <f>'M2DU Measurement'!$G$7*(SQRT(1+((-'M2DU Measurement'!$G$9+AC45)^2/$C$10^2)))</f>
        <v>81.016202556985121</v>
      </c>
    </row>
    <row r="46" spans="1:31" x14ac:dyDescent="0.35">
      <c r="A46" s="53"/>
      <c r="B46" s="53"/>
      <c r="C46" s="53"/>
      <c r="D46" s="53"/>
      <c r="E46" s="53"/>
      <c r="F46" s="53"/>
      <c r="G46" s="53"/>
      <c r="H46" s="53"/>
      <c r="I46" s="53"/>
      <c r="J46" s="3">
        <v>44</v>
      </c>
      <c r="K46" s="8">
        <f>$K$2+('M2DU Measurement'!$C$8+'M2DU Measurement'!$G$23)*J46/60</f>
        <v>-21.649911305971159</v>
      </c>
      <c r="L46" s="9">
        <f t="shared" si="9"/>
        <v>128.28725609142063</v>
      </c>
      <c r="M46" s="9">
        <f>L46-'M2DU Measurement'!$G$23</f>
        <v>3.350088694028841</v>
      </c>
      <c r="N46" s="30">
        <f>'M2DU Measurement'!$G$7*(SQRT(1+((-'M2DU Measurement'!$G$9+L46)^2/'M2DU Measurement'!$G$10^2)))</f>
        <v>297.26420306109969</v>
      </c>
      <c r="O46" s="8">
        <f t="shared" si="10"/>
        <v>-148.63210153054985</v>
      </c>
      <c r="P46" s="8">
        <f t="shared" si="11"/>
        <v>148.63210153054985</v>
      </c>
      <c r="Q46" s="1"/>
      <c r="S46" s="9">
        <f>J46*'M2DU Measurement'!$C$8/60</f>
        <v>36.666666666666664</v>
      </c>
      <c r="T46" s="9">
        <f t="shared" si="12"/>
        <v>161.60383406405845</v>
      </c>
      <c r="U46" s="9">
        <f>'M2DU Measurement'!$G$7*(SQRT(1+((-'M2DU Measurement'!$G$9+T46)^2/'M2DU Measurement'!$G$10^2)))</f>
        <v>170.96057498047014</v>
      </c>
      <c r="V46" s="9">
        <f t="shared" si="6"/>
        <v>-85.480287490235071</v>
      </c>
      <c r="W46" s="9">
        <f t="shared" si="7"/>
        <v>85.480287490235071</v>
      </c>
      <c r="Y46" s="9">
        <f>'M2DU Measurement'!$G$7*(SQRT(1+((-'M2DU Measurement'!$G$9+T46)^2/$C$10^2)))</f>
        <v>96.981144922181315</v>
      </c>
      <c r="Z46">
        <f t="shared" si="13"/>
        <v>55</v>
      </c>
      <c r="AB46" s="25">
        <f t="shared" si="15"/>
        <v>32.443830838080693</v>
      </c>
      <c r="AC46" s="9">
        <f t="shared" si="14"/>
        <v>157.38099823547248</v>
      </c>
      <c r="AD46" s="9">
        <f>'M2DU Measurement'!$G$7*(SQRT(1+((-'M2DU Measurement'!$G$9+AC46)^2/'M2DU Measurement'!$G$10^2)))</f>
        <v>121.97852391966185</v>
      </c>
      <c r="AE46" s="9">
        <f>'M2DU Measurement'!$G$7*(SQRT(1+((-'M2DU Measurement'!$G$9+AC46)^2/$C$10^2)))</f>
        <v>82.517779809418158</v>
      </c>
    </row>
    <row r="47" spans="1:31" x14ac:dyDescent="0.35">
      <c r="A47" s="53"/>
      <c r="B47" s="53"/>
      <c r="C47" s="53"/>
      <c r="D47" s="53"/>
      <c r="E47" s="53"/>
      <c r="F47" s="53"/>
      <c r="G47" s="53"/>
      <c r="H47" s="53"/>
      <c r="I47" s="53"/>
      <c r="J47" s="3">
        <v>45</v>
      </c>
      <c r="K47" s="8">
        <f>$K$2+('M2DU Measurement'!$C$8+'M2DU Measurement'!$G$23)*J47/60</f>
        <v>-18.734291849347954</v>
      </c>
      <c r="L47" s="9">
        <f t="shared" si="9"/>
        <v>131.20287554804383</v>
      </c>
      <c r="M47" s="9">
        <f>L47-'M2DU Measurement'!$G$23</f>
        <v>6.2657081506520456</v>
      </c>
      <c r="N47" s="30">
        <f>'M2DU Measurement'!$G$7*(SQRT(1+((-'M2DU Measurement'!$G$9+L47)^2/'M2DU Measurement'!$G$10^2)))</f>
        <v>259.67411195841856</v>
      </c>
      <c r="O47" s="8">
        <f t="shared" si="10"/>
        <v>-129.83705597920928</v>
      </c>
      <c r="P47" s="8">
        <f t="shared" si="11"/>
        <v>129.83705597920928</v>
      </c>
      <c r="Q47" s="1"/>
      <c r="S47" s="9">
        <f>J47*'M2DU Measurement'!$C$8/60</f>
        <v>37.5</v>
      </c>
      <c r="T47" s="9">
        <f t="shared" si="12"/>
        <v>162.43716739739179</v>
      </c>
      <c r="U47" s="9">
        <f>'M2DU Measurement'!$G$7*(SQRT(1+((-'M2DU Measurement'!$G$9+T47)^2/'M2DU Measurement'!$G$10^2)))</f>
        <v>181.13051947085066</v>
      </c>
      <c r="V47" s="9">
        <f t="shared" si="6"/>
        <v>-90.565259735425329</v>
      </c>
      <c r="W47" s="9">
        <f t="shared" si="7"/>
        <v>90.565259735425329</v>
      </c>
      <c r="Y47" s="9">
        <f>'M2DU Measurement'!$G$7*(SQRT(1+((-'M2DU Measurement'!$G$9+T47)^2/$C$10^2)))</f>
        <v>100.26572902697355</v>
      </c>
      <c r="Z47">
        <f t="shared" si="13"/>
        <v>55</v>
      </c>
      <c r="AB47" s="25">
        <f t="shared" si="15"/>
        <v>32.975533040800741</v>
      </c>
      <c r="AC47" s="9">
        <f t="shared" si="14"/>
        <v>157.91270043819253</v>
      </c>
      <c r="AD47" s="9">
        <f>'M2DU Measurement'!$G$7*(SQRT(1+((-'M2DU Measurement'!$G$9+AC47)^2/'M2DU Measurement'!$G$10^2)))</f>
        <v>127.81422721328622</v>
      </c>
      <c r="AE47" s="9">
        <f>'M2DU Measurement'!$G$7*(SQRT(1+((-'M2DU Measurement'!$G$9+AC47)^2/$C$10^2)))</f>
        <v>84.100727947691979</v>
      </c>
    </row>
    <row r="48" spans="1:31" x14ac:dyDescent="0.35">
      <c r="A48" s="53"/>
      <c r="B48" s="53"/>
      <c r="C48" s="53"/>
      <c r="D48" s="53"/>
      <c r="E48" s="53"/>
      <c r="F48" s="53"/>
      <c r="G48" s="53"/>
      <c r="H48" s="53"/>
      <c r="I48" s="53"/>
      <c r="J48" s="3">
        <v>46</v>
      </c>
      <c r="K48" s="8">
        <f>$K$2+('M2DU Measurement'!$C$8+'M2DU Measurement'!$G$23)*J48/60</f>
        <v>-15.81867239272475</v>
      </c>
      <c r="L48" s="9">
        <f t="shared" si="9"/>
        <v>134.11849500466704</v>
      </c>
      <c r="M48" s="9">
        <f>L48-'M2DU Measurement'!$G$23</f>
        <v>9.1813276072752501</v>
      </c>
      <c r="N48" s="30">
        <f>'M2DU Measurement'!$G$7*(SQRT(1+((-'M2DU Measurement'!$G$9+L48)^2/'M2DU Measurement'!$G$10^2)))</f>
        <v>222.52690683447759</v>
      </c>
      <c r="O48" s="8">
        <f t="shared" si="10"/>
        <v>-111.26345341723879</v>
      </c>
      <c r="P48" s="8">
        <f t="shared" si="11"/>
        <v>111.26345341723879</v>
      </c>
      <c r="Q48" s="1"/>
      <c r="S48" s="9">
        <f>J48*'M2DU Measurement'!$C$8/60</f>
        <v>38.333333333333336</v>
      </c>
      <c r="T48" s="9">
        <f t="shared" si="12"/>
        <v>163.27050073072513</v>
      </c>
      <c r="U48" s="9">
        <f>'M2DU Measurement'!$G$7*(SQRT(1+((-'M2DU Measurement'!$G$9+T48)^2/'M2DU Measurement'!$G$10^2)))</f>
        <v>191.4052246701215</v>
      </c>
      <c r="V48" s="9">
        <f t="shared" si="6"/>
        <v>-95.702612335060749</v>
      </c>
      <c r="W48" s="9">
        <f t="shared" si="7"/>
        <v>95.702612335060749</v>
      </c>
      <c r="Y48" s="9">
        <f>'M2DU Measurement'!$G$7*(SQRT(1+((-'M2DU Measurement'!$G$9+T48)^2/$C$10^2)))</f>
        <v>103.66181228426672</v>
      </c>
      <c r="Z48">
        <f t="shared" si="13"/>
        <v>55</v>
      </c>
      <c r="AB48" s="25">
        <f t="shared" si="15"/>
        <v>33.507235243520796</v>
      </c>
      <c r="AC48" s="9">
        <f t="shared" si="14"/>
        <v>158.44440264091259</v>
      </c>
      <c r="AD48" s="9">
        <f>'M2DU Measurement'!$G$7*(SQRT(1+((-'M2DU Measurement'!$G$9+AC48)^2/'M2DU Measurement'!$G$10^2)))</f>
        <v>133.7711673822603</v>
      </c>
      <c r="AE48" s="9">
        <f>'M2DU Measurement'!$G$7*(SQRT(1+((-'M2DU Measurement'!$G$9+AC48)^2/$C$10^2)))</f>
        <v>85.760541315471414</v>
      </c>
    </row>
    <row r="49" spans="1:31" x14ac:dyDescent="0.35">
      <c r="A49" s="53"/>
      <c r="B49" s="53"/>
      <c r="C49" s="53"/>
      <c r="D49" s="53"/>
      <c r="E49" s="53"/>
      <c r="F49" s="53"/>
      <c r="G49" s="53"/>
      <c r="H49" s="53"/>
      <c r="I49" s="53"/>
      <c r="J49" s="3">
        <v>47</v>
      </c>
      <c r="K49" s="8">
        <f>$K$2+('M2DU Measurement'!$C$8+'M2DU Measurement'!$G$23)*J49/60</f>
        <v>-12.903052936101545</v>
      </c>
      <c r="L49" s="9">
        <f t="shared" si="9"/>
        <v>137.03411446129024</v>
      </c>
      <c r="M49" s="9">
        <f>L49-'M2DU Measurement'!$G$23</f>
        <v>12.096947063898455</v>
      </c>
      <c r="N49" s="30">
        <f>'M2DU Measurement'!$G$7*(SQRT(1+((-'M2DU Measurement'!$G$9+L49)^2/'M2DU Measurement'!$G$10^2)))</f>
        <v>186.08800593625483</v>
      </c>
      <c r="O49" s="8">
        <f t="shared" si="10"/>
        <v>-93.044002968127415</v>
      </c>
      <c r="P49" s="8">
        <f t="shared" si="11"/>
        <v>93.044002968127415</v>
      </c>
      <c r="Q49" s="1"/>
      <c r="S49" s="9">
        <f>J49*'M2DU Measurement'!$C$8/60</f>
        <v>39.166666666666664</v>
      </c>
      <c r="T49" s="9">
        <f t="shared" si="12"/>
        <v>164.10383406405845</v>
      </c>
      <c r="U49" s="9">
        <f>'M2DU Measurement'!$G$7*(SQRT(1+((-'M2DU Measurement'!$G$9+T49)^2/'M2DU Measurement'!$G$10^2)))</f>
        <v>201.76868696448236</v>
      </c>
      <c r="V49" s="9">
        <f t="shared" si="6"/>
        <v>-100.88434348224118</v>
      </c>
      <c r="W49" s="9">
        <f t="shared" si="7"/>
        <v>100.88434348224118</v>
      </c>
      <c r="Y49" s="9">
        <f>'M2DU Measurement'!$G$7*(SQRT(1+((-'M2DU Measurement'!$G$9+T49)^2/$C$10^2)))</f>
        <v>107.15879430388017</v>
      </c>
      <c r="Z49">
        <f t="shared" si="13"/>
        <v>55</v>
      </c>
      <c r="AB49" s="25">
        <f t="shared" si="15"/>
        <v>34.038937446240837</v>
      </c>
      <c r="AC49" s="9">
        <f t="shared" si="14"/>
        <v>158.97610484363264</v>
      </c>
      <c r="AD49" s="9">
        <f>'M2DU Measurement'!$G$7*(SQRT(1+((-'M2DU Measurement'!$G$9+AC49)^2/'M2DU Measurement'!$G$10^2)))</f>
        <v>139.83385116512008</v>
      </c>
      <c r="AE49" s="9">
        <f>'M2DU Measurement'!$G$7*(SQRT(1+((-'M2DU Measurement'!$G$9+AC49)^2/$C$10^2)))</f>
        <v>87.492845426632257</v>
      </c>
    </row>
    <row r="50" spans="1:31" x14ac:dyDescent="0.35">
      <c r="A50" s="53"/>
      <c r="B50" s="53"/>
      <c r="C50" s="53"/>
      <c r="D50" s="53"/>
      <c r="E50" s="53"/>
      <c r="F50" s="53"/>
      <c r="G50" s="53"/>
      <c r="H50" s="53"/>
      <c r="I50" s="53"/>
      <c r="J50" s="3">
        <v>48</v>
      </c>
      <c r="K50" s="8">
        <f>$K$2+('M2DU Measurement'!$C$8+'M2DU Measurement'!$G$23)*J50/60</f>
        <v>-9.9874334794783692</v>
      </c>
      <c r="L50" s="9">
        <f t="shared" si="9"/>
        <v>139.94973391791342</v>
      </c>
      <c r="M50" s="9">
        <f>L50-'M2DU Measurement'!$G$23</f>
        <v>15.012566520521631</v>
      </c>
      <c r="N50" s="30">
        <f>'M2DU Measurement'!$G$7*(SQRT(1+((-'M2DU Measurement'!$G$9+L50)^2/'M2DU Measurement'!$G$10^2)))</f>
        <v>150.87149991110783</v>
      </c>
      <c r="O50" s="8">
        <f t="shared" si="10"/>
        <v>-75.435749955553916</v>
      </c>
      <c r="P50" s="8">
        <f t="shared" si="11"/>
        <v>75.435749955553916</v>
      </c>
      <c r="Q50" s="1"/>
      <c r="S50" s="9">
        <f>J50*'M2DU Measurement'!$C$8/60</f>
        <v>40</v>
      </c>
      <c r="T50" s="9">
        <f t="shared" si="12"/>
        <v>164.93716739739179</v>
      </c>
      <c r="U50" s="9">
        <f>'M2DU Measurement'!$G$7*(SQRT(1+((-'M2DU Measurement'!$G$9+T50)^2/'M2DU Measurement'!$G$10^2)))</f>
        <v>212.20790303104923</v>
      </c>
      <c r="V50" s="9">
        <f t="shared" si="6"/>
        <v>-106.10395151552461</v>
      </c>
      <c r="W50" s="9">
        <f t="shared" si="7"/>
        <v>106.10395151552461</v>
      </c>
      <c r="Y50" s="9">
        <f>'M2DU Measurement'!$G$7*(SQRT(1+((-'M2DU Measurement'!$G$9+T50)^2/$C$10^2)))</f>
        <v>110.74711747543948</v>
      </c>
      <c r="Z50">
        <f t="shared" si="13"/>
        <v>55</v>
      </c>
      <c r="AB50" s="25">
        <f t="shared" si="15"/>
        <v>34.570639648960892</v>
      </c>
      <c r="AC50" s="9">
        <f t="shared" si="14"/>
        <v>159.5078070463527</v>
      </c>
      <c r="AD50" s="9">
        <f>'M2DU Measurement'!$G$7*(SQRT(1+((-'M2DU Measurement'!$G$9+AC50)^2/'M2DU Measurement'!$G$10^2)))</f>
        <v>145.98910508903845</v>
      </c>
      <c r="AE50" s="9">
        <f>'M2DU Measurement'!$G$7*(SQRT(1+((-'M2DU Measurement'!$G$9+AC50)^2/$C$10^2)))</f>
        <v>89.293421390992449</v>
      </c>
    </row>
    <row r="51" spans="1:31" x14ac:dyDescent="0.35">
      <c r="A51" s="53"/>
      <c r="B51" s="53"/>
      <c r="C51" s="53"/>
      <c r="D51" s="53"/>
      <c r="E51" s="53"/>
      <c r="F51" s="53"/>
      <c r="G51" s="53"/>
      <c r="H51" s="53"/>
      <c r="I51" s="53"/>
      <c r="J51" s="3">
        <v>49</v>
      </c>
      <c r="K51" s="8">
        <f>$K$2+('M2DU Measurement'!$C$8+'M2DU Measurement'!$G$23)*J51/60</f>
        <v>-7.0718140228551647</v>
      </c>
      <c r="L51" s="9">
        <f t="shared" si="9"/>
        <v>142.86535337453662</v>
      </c>
      <c r="M51" s="9">
        <f>L51-'M2DU Measurement'!$G$23</f>
        <v>17.928185977144835</v>
      </c>
      <c r="N51" s="30">
        <f>'M2DU Measurement'!$G$7*(SQRT(1+((-'M2DU Measurement'!$G$9+L51)^2/'M2DU Measurement'!$G$10^2)))</f>
        <v>117.9771794102887</v>
      </c>
      <c r="O51" s="8">
        <f t="shared" si="10"/>
        <v>-58.988589705144349</v>
      </c>
      <c r="P51" s="8">
        <f t="shared" si="11"/>
        <v>58.988589705144349</v>
      </c>
      <c r="Q51" s="1"/>
      <c r="S51" s="9">
        <f>J51*'M2DU Measurement'!$C$8/60</f>
        <v>40.833333333333336</v>
      </c>
      <c r="T51" s="9">
        <f t="shared" si="12"/>
        <v>165.77050073072513</v>
      </c>
      <c r="U51" s="9">
        <f>'M2DU Measurement'!$G$7*(SQRT(1+((-'M2DU Measurement'!$G$9+T51)^2/'M2DU Measurement'!$G$10^2)))</f>
        <v>222.71222067819124</v>
      </c>
      <c r="V51" s="9">
        <f t="shared" si="6"/>
        <v>-111.35611033909562</v>
      </c>
      <c r="W51" s="9">
        <f t="shared" si="7"/>
        <v>111.35611033909562</v>
      </c>
      <c r="Y51" s="9">
        <f>'M2DU Measurement'!$G$7*(SQRT(1+((-'M2DU Measurement'!$G$9+T51)^2/$C$10^2)))</f>
        <v>114.41818834184973</v>
      </c>
      <c r="Z51">
        <f t="shared" si="13"/>
        <v>55</v>
      </c>
      <c r="AB51" s="25">
        <f t="shared" si="15"/>
        <v>35.10234185168094</v>
      </c>
      <c r="AC51" s="9">
        <f t="shared" si="14"/>
        <v>160.03950924907272</v>
      </c>
      <c r="AD51" s="9">
        <f>'M2DU Measurement'!$G$7*(SQRT(1+((-'M2DU Measurement'!$G$9+AC51)^2/'M2DU Measurement'!$G$10^2)))</f>
        <v>152.22570033309313</v>
      </c>
      <c r="AE51" s="9">
        <f>'M2DU Measurement'!$G$7*(SQRT(1+((-'M2DU Measurement'!$G$9+AC51)^2/$C$10^2)))</f>
        <v>91.158223739304063</v>
      </c>
    </row>
    <row r="52" spans="1:31" x14ac:dyDescent="0.35">
      <c r="A52" s="53"/>
      <c r="B52" s="53"/>
      <c r="C52" s="53"/>
      <c r="D52" s="53"/>
      <c r="E52" s="53"/>
      <c r="F52" s="53"/>
      <c r="G52" s="53"/>
      <c r="H52" s="53"/>
      <c r="I52" s="53"/>
      <c r="J52" s="3">
        <v>50</v>
      </c>
      <c r="K52" s="8">
        <f>$K$2+('M2DU Measurement'!$C$8+'M2DU Measurement'!$G$23)*J52/60</f>
        <v>-4.1561945662319602</v>
      </c>
      <c r="L52" s="9">
        <f t="shared" si="9"/>
        <v>145.78097283115983</v>
      </c>
      <c r="M52" s="9">
        <f>L52-'M2DU Measurement'!$G$23</f>
        <v>20.84380543376804</v>
      </c>
      <c r="N52" s="30">
        <f>'M2DU Measurement'!$G$7*(SQRT(1+((-'M2DU Measurement'!$G$9+L52)^2/'M2DU Measurement'!$G$10^2)))</f>
        <v>89.988677520407222</v>
      </c>
      <c r="O52" s="8">
        <f t="shared" si="10"/>
        <v>-44.994338760203611</v>
      </c>
      <c r="P52" s="8">
        <f t="shared" si="11"/>
        <v>44.994338760203611</v>
      </c>
      <c r="Q52" s="1"/>
      <c r="S52" s="9">
        <f>J52*'M2DU Measurement'!$C$8/60</f>
        <v>41.666666666666664</v>
      </c>
      <c r="T52" s="9">
        <f t="shared" si="12"/>
        <v>166.60383406405845</v>
      </c>
      <c r="U52" s="9">
        <f>'M2DU Measurement'!$G$7*(SQRT(1+((-'M2DU Measurement'!$G$9+T52)^2/'M2DU Measurement'!$G$10^2)))</f>
        <v>233.27284546448948</v>
      </c>
      <c r="V52" s="9">
        <f t="shared" si="6"/>
        <v>-116.63642273224474</v>
      </c>
      <c r="W52" s="9">
        <f t="shared" si="7"/>
        <v>116.63642273224474</v>
      </c>
      <c r="Y52" s="9">
        <f>'M2DU Measurement'!$G$7*(SQRT(1+((-'M2DU Measurement'!$G$9+T52)^2/$C$10^2)))</f>
        <v>118.16429485930971</v>
      </c>
      <c r="Z52">
        <f t="shared" si="13"/>
        <v>55</v>
      </c>
      <c r="AB52" s="25">
        <f t="shared" si="15"/>
        <v>35.634044054400988</v>
      </c>
      <c r="AC52" s="9">
        <f t="shared" si="14"/>
        <v>160.57121145179278</v>
      </c>
      <c r="AD52" s="9">
        <f>'M2DU Measurement'!$G$7*(SQRT(1+((-'M2DU Measurement'!$G$9+AC52)^2/'M2DU Measurement'!$G$10^2)))</f>
        <v>158.5340374912474</v>
      </c>
      <c r="AE52" s="9">
        <f>'M2DU Measurement'!$G$7*(SQRT(1+((-'M2DU Measurement'!$G$9+AC52)^2/$C$10^2)))</f>
        <v>93.083392480267975</v>
      </c>
    </row>
    <row r="53" spans="1:31" x14ac:dyDescent="0.35">
      <c r="A53" s="53"/>
      <c r="B53" s="53"/>
      <c r="C53" s="53"/>
      <c r="D53" s="53"/>
      <c r="E53" s="53"/>
      <c r="F53" s="53"/>
      <c r="G53" s="53"/>
      <c r="H53" s="53"/>
      <c r="I53" s="53"/>
      <c r="J53" s="3">
        <v>51</v>
      </c>
      <c r="K53" s="8">
        <f>$K$2+('M2DU Measurement'!$C$8+'M2DU Measurement'!$G$23)*J53/60</f>
        <v>-1.2405751096087556</v>
      </c>
      <c r="L53" s="9">
        <f t="shared" si="9"/>
        <v>148.69659228778303</v>
      </c>
      <c r="M53" s="9">
        <f>L53-'M2DU Measurement'!$G$23</f>
        <v>23.759424890391244</v>
      </c>
      <c r="N53" s="30">
        <f>'M2DU Measurement'!$G$7*(SQRT(1+((-'M2DU Measurement'!$G$9+L53)^2/'M2DU Measurement'!$G$10^2)))</f>
        <v>72.802823751696678</v>
      </c>
      <c r="O53" s="8">
        <f t="shared" si="10"/>
        <v>-36.401411875848339</v>
      </c>
      <c r="P53" s="8">
        <f t="shared" si="11"/>
        <v>36.401411875848339</v>
      </c>
      <c r="Q53" s="1"/>
      <c r="S53" s="9">
        <f>J53*'M2DU Measurement'!$C$8/60</f>
        <v>42.5</v>
      </c>
      <c r="T53" s="9">
        <f t="shared" si="12"/>
        <v>167.43716739739179</v>
      </c>
      <c r="U53" s="9">
        <f>'M2DU Measurement'!$G$7*(SQRT(1+((-'M2DU Measurement'!$G$9+T53)^2/'M2DU Measurement'!$G$10^2)))</f>
        <v>243.88246284614269</v>
      </c>
      <c r="V53" s="9">
        <f t="shared" si="6"/>
        <v>-121.94123142307134</v>
      </c>
      <c r="W53" s="9">
        <f t="shared" si="7"/>
        <v>121.94123142307134</v>
      </c>
      <c r="Y53" s="9">
        <f>'M2DU Measurement'!$G$7*(SQRT(1+((-'M2DU Measurement'!$G$9+T53)^2/$C$10^2)))</f>
        <v>121.97852391966185</v>
      </c>
      <c r="Z53">
        <f t="shared" si="13"/>
        <v>55</v>
      </c>
      <c r="AB53" s="25">
        <f t="shared" si="15"/>
        <v>36.165746257121043</v>
      </c>
      <c r="AC53" s="9">
        <f t="shared" si="14"/>
        <v>161.10291365451283</v>
      </c>
      <c r="AD53" s="9">
        <f>'M2DU Measurement'!$G$7*(SQRT(1+((-'M2DU Measurement'!$G$9+AC53)^2/'M2DU Measurement'!$G$10^2)))</f>
        <v>164.90588348759701</v>
      </c>
      <c r="AE53" s="9">
        <f>'M2DU Measurement'!$G$7*(SQRT(1+((-'M2DU Measurement'!$G$9+AC53)^2/$C$10^2)))</f>
        <v>95.065260241063356</v>
      </c>
    </row>
    <row r="54" spans="1:31" x14ac:dyDescent="0.35">
      <c r="A54" s="53"/>
      <c r="B54" s="17"/>
      <c r="D54" s="17" t="s">
        <v>71</v>
      </c>
      <c r="E54" s="17" t="s">
        <v>72</v>
      </c>
      <c r="F54" s="17" t="s">
        <v>73</v>
      </c>
      <c r="G54" s="17" t="s">
        <v>74</v>
      </c>
      <c r="H54" s="17" t="s">
        <v>75</v>
      </c>
      <c r="I54" s="17" t="s">
        <v>79</v>
      </c>
      <c r="J54" s="3">
        <v>52</v>
      </c>
      <c r="K54" s="8">
        <f>$K$2+('M2DU Measurement'!$C$8+'M2DU Measurement'!$G$23)*J54/60</f>
        <v>1.6750443470144205</v>
      </c>
      <c r="L54" s="9">
        <f t="shared" si="9"/>
        <v>151.61221174440621</v>
      </c>
      <c r="M54" s="9">
        <f>L54-'M2DU Measurement'!$G$23</f>
        <v>26.675044347014421</v>
      </c>
      <c r="N54" s="30">
        <f>'M2DU Measurement'!$G$7*(SQRT(1+((-'M2DU Measurement'!$G$9+L54)^2/'M2DU Measurement'!$G$10^2)))</f>
        <v>74.333586316373285</v>
      </c>
      <c r="O54" s="8">
        <f t="shared" si="10"/>
        <v>-37.166793158186643</v>
      </c>
      <c r="P54" s="8">
        <f t="shared" si="11"/>
        <v>37.166793158186643</v>
      </c>
      <c r="Q54" s="1"/>
      <c r="S54" s="9">
        <f>J54*'M2DU Measurement'!$C$8/60</f>
        <v>43.333333333333336</v>
      </c>
      <c r="T54" s="9">
        <f t="shared" si="12"/>
        <v>168.27050073072513</v>
      </c>
      <c r="U54" s="9">
        <f>'M2DU Measurement'!$G$7*(SQRT(1+((-'M2DU Measurement'!$G$9+T54)^2/'M2DU Measurement'!$G$10^2)))</f>
        <v>254.53494651582329</v>
      </c>
      <c r="V54" s="9">
        <f t="shared" si="6"/>
        <v>-127.26747325791165</v>
      </c>
      <c r="W54" s="9">
        <f t="shared" si="7"/>
        <v>127.26747325791165</v>
      </c>
      <c r="Y54" s="9">
        <f>'M2DU Measurement'!$G$7*(SQRT(1+((-'M2DU Measurement'!$G$9+T54)^2/$C$10^2)))</f>
        <v>125.85468198480288</v>
      </c>
      <c r="Z54">
        <f t="shared" si="13"/>
        <v>55</v>
      </c>
      <c r="AB54" s="25">
        <f t="shared" si="15"/>
        <v>36.697448459841084</v>
      </c>
      <c r="AC54" s="9">
        <f t="shared" si="14"/>
        <v>161.63461585723286</v>
      </c>
      <c r="AD54" s="9">
        <f>'M2DU Measurement'!$G$7*(SQRT(1+((-'M2DU Measurement'!$G$9+AC54)^2/'M2DU Measurement'!$G$10^2)))</f>
        <v>171.33415286669083</v>
      </c>
      <c r="AE54" s="9">
        <f>'M2DU Measurement'!$G$7*(SQRT(1+((-'M2DU Measurement'!$G$9+AC54)^2/$C$10^2)))</f>
        <v>97.100355316041316</v>
      </c>
    </row>
    <row r="55" spans="1:31" x14ac:dyDescent="0.35">
      <c r="A55" s="53"/>
      <c r="B55" s="6" t="s">
        <v>12</v>
      </c>
      <c r="C55" s="6" t="str">
        <f>IF('M2DU Measurement'!$C$7=B55,"WCD","")</f>
        <v>WCD</v>
      </c>
      <c r="D55" s="7">
        <f>IF('M2DU Measurement'!$C$7=B55,55,0)</f>
        <v>55</v>
      </c>
      <c r="E55" s="7">
        <f>IF('M2DU Measurement'!$C$7=B55,F55*1000,0)</f>
        <v>11300</v>
      </c>
      <c r="F55" s="17">
        <v>11.3</v>
      </c>
      <c r="G55" s="53">
        <f>IF('M2DU Measurement'!$C$7=B55,190,0)</f>
        <v>190</v>
      </c>
      <c r="H55" s="53">
        <f>IF('M2DU Measurement'!$C$7=B55,1350,0)</f>
        <v>1350</v>
      </c>
      <c r="I55" s="53">
        <f>IF('M2DU Measurement'!$C$7=B55,36.5+7.5,0)</f>
        <v>44</v>
      </c>
      <c r="J55" s="3">
        <v>53</v>
      </c>
      <c r="K55" s="8">
        <f>$K$2+('M2DU Measurement'!$C$8+'M2DU Measurement'!$G$23)*J55/60</f>
        <v>4.5906638036376251</v>
      </c>
      <c r="L55" s="9">
        <f t="shared" si="9"/>
        <v>154.52783120102941</v>
      </c>
      <c r="M55" s="9">
        <f>L55-'M2DU Measurement'!$G$23</f>
        <v>29.590663803637625</v>
      </c>
      <c r="N55" s="30">
        <f>'M2DU Measurement'!$G$7*(SQRT(1+((-'M2DU Measurement'!$G$9+L55)^2/'M2DU Measurement'!$G$10^2)))</f>
        <v>93.66778959264056</v>
      </c>
      <c r="O55" s="8">
        <f t="shared" si="10"/>
        <v>-46.83389479632028</v>
      </c>
      <c r="P55" s="8">
        <f t="shared" si="11"/>
        <v>46.83389479632028</v>
      </c>
      <c r="Q55" s="1"/>
      <c r="S55" s="9">
        <f>J55*'M2DU Measurement'!$C$8/60</f>
        <v>44.166666666666664</v>
      </c>
      <c r="T55" s="9">
        <f t="shared" si="12"/>
        <v>169.10383406405845</v>
      </c>
      <c r="U55" s="9">
        <f>'M2DU Measurement'!$G$7*(SQRT(1+((-'M2DU Measurement'!$G$9+T55)^2/'M2DU Measurement'!$G$10^2)))</f>
        <v>265.22513148802074</v>
      </c>
      <c r="V55" s="9">
        <f t="shared" si="6"/>
        <v>-132.61256574401037</v>
      </c>
      <c r="W55" s="9">
        <f t="shared" si="7"/>
        <v>132.61256574401037</v>
      </c>
      <c r="Y55" s="9">
        <f>'M2DU Measurement'!$G$7*(SQRT(1+((-'M2DU Measurement'!$G$9+T55)^2/$C$10^2)))</f>
        <v>129.7872205543631</v>
      </c>
      <c r="Z55">
        <f t="shared" si="13"/>
        <v>55</v>
      </c>
      <c r="AB55" s="25">
        <f t="shared" si="15"/>
        <v>37.229150662561139</v>
      </c>
      <c r="AC55" s="9">
        <f t="shared" si="14"/>
        <v>162.16631805995291</v>
      </c>
      <c r="AD55" s="9">
        <f>'M2DU Measurement'!$G$7*(SQRT(1+((-'M2DU Measurement'!$G$9+AC55)^2/'M2DU Measurement'!$G$10^2)))</f>
        <v>177.81272629494623</v>
      </c>
      <c r="AE55" s="9">
        <f>'M2DU Measurement'!$G$7*(SQRT(1+((-'M2DU Measurement'!$G$9+AC55)^2/$C$10^2)))</f>
        <v>99.18540139071257</v>
      </c>
    </row>
    <row r="56" spans="1:31" x14ac:dyDescent="0.35">
      <c r="A56" s="53"/>
      <c r="B56" s="6" t="s">
        <v>13</v>
      </c>
      <c r="C56" s="6" t="str">
        <f>IF('M2DU Measurement'!$C$7=B56,"WCD","")</f>
        <v/>
      </c>
      <c r="D56" s="7">
        <f>IF('M2DU Measurement'!$C$7=B56,46.5,0)</f>
        <v>0</v>
      </c>
      <c r="E56" s="7">
        <f>IF('M2DU Measurement'!$C$7=B56,F56*1000,0)</f>
        <v>0</v>
      </c>
      <c r="F56" s="17">
        <v>4.8</v>
      </c>
      <c r="G56" s="53">
        <f>IF('M2DU Measurement'!$C$7=B56,190,0)</f>
        <v>0</v>
      </c>
      <c r="H56" s="53">
        <f>IF('M2DU Measurement'!$C$7=B56,1350,0)</f>
        <v>0</v>
      </c>
      <c r="I56" s="53">
        <f>IF('M2DU Measurement'!$C$7=B56,38+8.9,0)</f>
        <v>0</v>
      </c>
      <c r="J56" s="3">
        <v>54</v>
      </c>
      <c r="K56" s="8">
        <f>$K$2+('M2DU Measurement'!$C$8+'M2DU Measurement'!$G$23)*J56/60</f>
        <v>7.5062832602608296</v>
      </c>
      <c r="L56" s="9">
        <f t="shared" si="9"/>
        <v>157.44345065765262</v>
      </c>
      <c r="M56" s="9">
        <f>L56-'M2DU Measurement'!$G$23</f>
        <v>32.50628326026083</v>
      </c>
      <c r="N56" s="30">
        <f>'M2DU Measurement'!$G$7*(SQRT(1+((-'M2DU Measurement'!$G$9+L56)^2/'M2DU Measurement'!$G$10^2)))</f>
        <v>122.65712129254058</v>
      </c>
      <c r="O56" s="8">
        <f t="shared" si="10"/>
        <v>-61.32856064627029</v>
      </c>
      <c r="P56" s="8">
        <f t="shared" si="11"/>
        <v>61.32856064627029</v>
      </c>
      <c r="Q56" s="1"/>
      <c r="S56" s="9">
        <f>J56*'M2DU Measurement'!$C$8/60</f>
        <v>45</v>
      </c>
      <c r="T56" s="9">
        <f t="shared" si="12"/>
        <v>169.93716739739179</v>
      </c>
      <c r="U56" s="9">
        <f>'M2DU Measurement'!$G$7*(SQRT(1+((-'M2DU Measurement'!$G$9+T56)^2/'M2DU Measurement'!$G$10^2)))</f>
        <v>275.94863617886421</v>
      </c>
      <c r="V56" s="9">
        <f t="shared" si="6"/>
        <v>-137.9743180894321</v>
      </c>
      <c r="W56" s="9">
        <f t="shared" si="7"/>
        <v>137.9743180894321</v>
      </c>
      <c r="Y56" s="9">
        <f>'M2DU Measurement'!$G$7*(SQRT(1+((-'M2DU Measurement'!$G$9+T56)^2/$C$10^2)))</f>
        <v>133.77116738226016</v>
      </c>
      <c r="Z56">
        <f t="shared" si="13"/>
        <v>55</v>
      </c>
      <c r="AB56" s="25">
        <f t="shared" si="15"/>
        <v>37.760852865281187</v>
      </c>
      <c r="AC56" s="9">
        <f t="shared" si="14"/>
        <v>162.69802026267297</v>
      </c>
      <c r="AD56" s="9">
        <f>'M2DU Measurement'!$G$7*(SQRT(1+((-'M2DU Measurement'!$G$9+AC56)^2/'M2DU Measurement'!$G$10^2)))</f>
        <v>184.33629998052325</v>
      </c>
      <c r="AE56" s="9">
        <f>'M2DU Measurement'!$G$7*(SQRT(1+((-'M2DU Measurement'!$G$9+AC56)^2/$C$10^2)))</f>
        <v>101.31731463233204</v>
      </c>
    </row>
    <row r="57" spans="1:31" x14ac:dyDescent="0.35">
      <c r="A57" s="53"/>
      <c r="B57" s="6" t="s">
        <v>14</v>
      </c>
      <c r="C57" s="6" t="str">
        <f>IF('M2DU Measurement'!$C$7=B57,"WCD","")</f>
        <v/>
      </c>
      <c r="D57" s="7">
        <f>IF('M2DU Measurement'!$C$7=B57,44,0)</f>
        <v>0</v>
      </c>
      <c r="E57" s="7">
        <f>IF('M2DU Measurement'!$C$7=B57,F57*1000,0)</f>
        <v>0</v>
      </c>
      <c r="F57" s="17">
        <v>5.4</v>
      </c>
      <c r="G57" s="53">
        <f>IF('M2DU Measurement'!$C$7=B57,190,0)</f>
        <v>0</v>
      </c>
      <c r="H57" s="53">
        <f>IF('M2DU Measurement'!$C$7=B57,1350,0)</f>
        <v>0</v>
      </c>
      <c r="I57" s="53">
        <f>IF('M2DU Measurement'!$C$7=B57,38+5.9,0)</f>
        <v>0</v>
      </c>
      <c r="J57" s="3">
        <v>55</v>
      </c>
      <c r="K57" s="8">
        <f>$K$2+('M2DU Measurement'!$C$8+'M2DU Measurement'!$G$23)*J57/60</f>
        <v>10.421902716884006</v>
      </c>
      <c r="L57" s="9">
        <f t="shared" si="9"/>
        <v>160.3590701142758</v>
      </c>
      <c r="M57" s="9">
        <f>L57-'M2DU Measurement'!$G$23</f>
        <v>35.421902716884006</v>
      </c>
      <c r="N57" s="30">
        <f>'M2DU Measurement'!$G$7*(SQRT(1+((-'M2DU Measurement'!$G$9+L57)^2/'M2DU Measurement'!$G$10^2)))</f>
        <v>156.00905693086892</v>
      </c>
      <c r="O57" s="8">
        <f t="shared" si="10"/>
        <v>-78.004528465434461</v>
      </c>
      <c r="P57" s="8">
        <f t="shared" si="11"/>
        <v>78.004528465434461</v>
      </c>
      <c r="Q57" s="1"/>
      <c r="S57" s="9">
        <f>J57*'M2DU Measurement'!$C$8/60</f>
        <v>45.833333333333336</v>
      </c>
      <c r="T57" s="9">
        <f t="shared" si="12"/>
        <v>170.77050073072513</v>
      </c>
      <c r="U57" s="9">
        <f>'M2DU Measurement'!$G$7*(SQRT(1+((-'M2DU Measurement'!$G$9+T57)^2/'M2DU Measurement'!$G$10^2)))</f>
        <v>286.70172184035562</v>
      </c>
      <c r="V57" s="9">
        <f t="shared" si="6"/>
        <v>-143.35086092017781</v>
      </c>
      <c r="W57" s="9">
        <f t="shared" si="7"/>
        <v>143.35086092017781</v>
      </c>
      <c r="Y57" s="9">
        <f>'M2DU Measurement'!$G$7*(SQRT(1+((-'M2DU Measurement'!$G$9+T57)^2/$C$10^2)))</f>
        <v>137.80206380259023</v>
      </c>
      <c r="Z57">
        <f t="shared" si="13"/>
        <v>55</v>
      </c>
      <c r="AB57" s="25">
        <f t="shared" si="15"/>
        <v>38.292555068001235</v>
      </c>
      <c r="AC57" s="9">
        <f t="shared" si="14"/>
        <v>163.22972246539302</v>
      </c>
      <c r="AD57" s="9">
        <f>'M2DU Measurement'!$G$7*(SQRT(1+((-'M2DU Measurement'!$G$9+AC57)^2/'M2DU Measurement'!$G$10^2)))</f>
        <v>190.90026064086595</v>
      </c>
      <c r="AE57" s="9">
        <f>'M2DU Measurement'!$G$7*(SQRT(1+((-'M2DU Measurement'!$G$9+AC57)^2/$C$10^2)))</f>
        <v>103.49319875388944</v>
      </c>
    </row>
    <row r="58" spans="1:31" x14ac:dyDescent="0.35">
      <c r="A58" s="53"/>
      <c r="B58" s="6" t="s">
        <v>15</v>
      </c>
      <c r="C58" s="6" t="str">
        <f>IF('M2DU Measurement'!$C$7=B58,"WCD","")</f>
        <v/>
      </c>
      <c r="D58" s="7">
        <f>IF('M2DU Measurement'!$C$7=B58,64.5,0)</f>
        <v>0</v>
      </c>
      <c r="E58" s="7">
        <f>IF('M2DU Measurement'!$C$7=B58,F58*1000,0)</f>
        <v>0</v>
      </c>
      <c r="F58" s="17">
        <v>6.6</v>
      </c>
      <c r="G58" s="53">
        <f>IF('M2DU Measurement'!$C$7=B58,190,0)</f>
        <v>0</v>
      </c>
      <c r="H58" s="53">
        <f>IF('M2DU Measurement'!$C$7=B58,1350,0)</f>
        <v>0</v>
      </c>
      <c r="I58" s="53">
        <f>IF('M2DU Measurement'!$C$7=B58,38+8.2,0)</f>
        <v>0</v>
      </c>
      <c r="J58" s="3">
        <v>56</v>
      </c>
      <c r="K58" s="8">
        <f>$K$2+('M2DU Measurement'!$C$8+'M2DU Measurement'!$G$23)*J58/60</f>
        <v>13.337522173507239</v>
      </c>
      <c r="L58" s="9">
        <f t="shared" si="9"/>
        <v>163.27468957089903</v>
      </c>
      <c r="M58" s="9">
        <f>L58-'M2DU Measurement'!$G$23</f>
        <v>38.337522173507239</v>
      </c>
      <c r="N58" s="30">
        <f>'M2DU Measurement'!$G$7*(SQRT(1+((-'M2DU Measurement'!$G$9+L58)^2/'M2DU Measurement'!$G$10^2)))</f>
        <v>191.45710780545537</v>
      </c>
      <c r="O58" s="8">
        <f t="shared" si="10"/>
        <v>-95.728553902727683</v>
      </c>
      <c r="P58" s="8">
        <f t="shared" si="11"/>
        <v>95.728553902727683</v>
      </c>
      <c r="Q58" s="1"/>
      <c r="S58" s="9">
        <f>J58*'M2DU Measurement'!$C$8/60</f>
        <v>46.666666666666664</v>
      </c>
      <c r="T58" s="9">
        <f t="shared" si="12"/>
        <v>171.60383406405845</v>
      </c>
      <c r="U58" s="9">
        <f>'M2DU Measurement'!$G$7*(SQRT(1+((-'M2DU Measurement'!$G$9+T58)^2/'M2DU Measurement'!$G$10^2)))</f>
        <v>297.48118068978113</v>
      </c>
      <c r="V58" s="9">
        <f t="shared" si="6"/>
        <v>-148.74059034489056</v>
      </c>
      <c r="W58" s="9">
        <f t="shared" si="7"/>
        <v>148.74059034489056</v>
      </c>
      <c r="Y58" s="9">
        <f>'M2DU Measurement'!$G$7*(SQRT(1+((-'M2DU Measurement'!$G$9+T58)^2/$C$10^2)))</f>
        <v>141.8759081576161</v>
      </c>
      <c r="Z58">
        <f t="shared" si="13"/>
        <v>55</v>
      </c>
      <c r="AB58" s="25">
        <f t="shared" si="15"/>
        <v>38.82425727072129</v>
      </c>
      <c r="AC58" s="9">
        <f t="shared" si="14"/>
        <v>163.76142466811308</v>
      </c>
      <c r="AD58" s="9">
        <f>'M2DU Measurement'!$G$7*(SQRT(1+((-'M2DU Measurement'!$G$9+AC58)^2/'M2DU Measurement'!$G$10^2)))</f>
        <v>197.50058151601669</v>
      </c>
      <c r="AE58" s="9">
        <f>'M2DU Measurement'!$G$7*(SQRT(1+((-'M2DU Measurement'!$G$9+AC58)^2/$C$10^2)))</f>
        <v>105.71033857221377</v>
      </c>
    </row>
    <row r="59" spans="1:31" x14ac:dyDescent="0.35">
      <c r="A59" s="53"/>
      <c r="B59" s="6" t="s">
        <v>16</v>
      </c>
      <c r="C59" s="6" t="str">
        <f>IF('M2DU Measurement'!$C$7=B59,"WCD","")</f>
        <v/>
      </c>
      <c r="D59" s="7">
        <f>IF('M2DU Measurement'!$C$7=B59,52,0)</f>
        <v>0</v>
      </c>
      <c r="E59" s="7">
        <f>IF('M2DU Measurement'!$C$7=B59,F59*1000,0)</f>
        <v>0</v>
      </c>
      <c r="F59" s="17">
        <v>5.3</v>
      </c>
      <c r="G59" s="53">
        <f>IF('M2DU Measurement'!$C$7=B59,190,0)</f>
        <v>0</v>
      </c>
      <c r="H59" s="53">
        <f>IF('M2DU Measurement'!$C$7=B59,1350,0)</f>
        <v>0</v>
      </c>
      <c r="I59" s="53">
        <f>IF('M2DU Measurement'!$C$7=B59,38+9.4,0)</f>
        <v>0</v>
      </c>
      <c r="J59" s="3">
        <v>57</v>
      </c>
      <c r="K59" s="8">
        <f>$K$2+('M2DU Measurement'!$C$8+'M2DU Measurement'!$G$23)*J59/60</f>
        <v>16.253141630130415</v>
      </c>
      <c r="L59" s="9">
        <f t="shared" si="9"/>
        <v>166.1903090275222</v>
      </c>
      <c r="M59" s="9">
        <f>L59-'M2DU Measurement'!$G$23</f>
        <v>41.253141630130415</v>
      </c>
      <c r="N59" s="30">
        <f>'M2DU Measurement'!$G$7*(SQRT(1+((-'M2DU Measurement'!$G$9+L59)^2/'M2DU Measurement'!$G$10^2)))</f>
        <v>228.02579735215161</v>
      </c>
      <c r="O59" s="8">
        <f t="shared" si="10"/>
        <v>-114.01289867607581</v>
      </c>
      <c r="P59" s="8">
        <f t="shared" si="11"/>
        <v>114.01289867607581</v>
      </c>
      <c r="Q59" s="1"/>
      <c r="S59" s="9">
        <f>J59*'M2DU Measurement'!$C$8/60</f>
        <v>47.5</v>
      </c>
      <c r="T59" s="9">
        <f t="shared" si="12"/>
        <v>172.43716739739179</v>
      </c>
      <c r="U59" s="9">
        <f>'M2DU Measurement'!$G$7*(SQRT(1+((-'M2DU Measurement'!$G$9+T59)^2/'M2DU Measurement'!$G$10^2)))</f>
        <v>308.28424624696629</v>
      </c>
      <c r="V59" s="9">
        <f t="shared" si="6"/>
        <v>-154.14212312348315</v>
      </c>
      <c r="W59" s="9">
        <f t="shared" si="7"/>
        <v>154.14212312348315</v>
      </c>
      <c r="Y59" s="9">
        <f>'M2DU Measurement'!$G$7*(SQRT(1+((-'M2DU Measurement'!$G$9+T59)^2/$C$10^2)))</f>
        <v>145.98910508903816</v>
      </c>
      <c r="Z59">
        <f t="shared" si="13"/>
        <v>55</v>
      </c>
      <c r="AB59" s="25">
        <f t="shared" si="15"/>
        <v>39.355959473441331</v>
      </c>
      <c r="AC59" s="9">
        <f t="shared" si="14"/>
        <v>164.29312687083313</v>
      </c>
      <c r="AD59" s="9">
        <f>'M2DU Measurement'!$G$7*(SQRT(1+((-'M2DU Measurement'!$G$9+AC59)^2/'M2DU Measurement'!$G$10^2)))</f>
        <v>204.13373569734148</v>
      </c>
      <c r="AE59" s="9">
        <f>'M2DU Measurement'!$G$7*(SQRT(1+((-'M2DU Measurement'!$G$9+AC59)^2/$C$10^2)))</f>
        <v>107.96619249805454</v>
      </c>
    </row>
    <row r="60" spans="1:31" x14ac:dyDescent="0.35">
      <c r="A60" s="53"/>
      <c r="B60" s="6" t="s">
        <v>17</v>
      </c>
      <c r="C60" s="6" t="str">
        <f>IF('M2DU Measurement'!$C$7=B60,"WCD","")</f>
        <v/>
      </c>
      <c r="D60" s="7">
        <f>IF('M2DU Measurement'!$C$7=B60,32,0)</f>
        <v>0</v>
      </c>
      <c r="E60" s="7">
        <f>IF('M2DU Measurement'!$C$7=B60,F60*1000,0)</f>
        <v>0</v>
      </c>
      <c r="F60" s="17">
        <v>4.9000000000000004</v>
      </c>
      <c r="G60" s="53">
        <f>IF('M2DU Measurement'!$C$7=B60,190,0)</f>
        <v>0</v>
      </c>
      <c r="H60" s="53">
        <f>IF('M2DU Measurement'!$C$7=B60,1350,0)</f>
        <v>0</v>
      </c>
      <c r="I60" s="53">
        <f>IF('M2DU Measurement'!$C$7=B60,38+9.4,0)</f>
        <v>0</v>
      </c>
      <c r="J60" s="3">
        <v>58</v>
      </c>
      <c r="K60" s="8">
        <f>$K$2+('M2DU Measurement'!$C$8+'M2DU Measurement'!$G$23)*J60/60</f>
        <v>19.168761086753591</v>
      </c>
      <c r="L60" s="9">
        <f t="shared" si="9"/>
        <v>169.10592848414538</v>
      </c>
      <c r="M60" s="9">
        <f>L60-'M2DU Measurement'!$G$23</f>
        <v>44.168761086753591</v>
      </c>
      <c r="N60" s="30">
        <f>'M2DU Measurement'!$G$7*(SQRT(1+((-'M2DU Measurement'!$G$9+L60)^2/'M2DU Measurement'!$G$10^2)))</f>
        <v>265.25204284043429</v>
      </c>
      <c r="O60" s="8">
        <f t="shared" si="10"/>
        <v>-132.62602142021714</v>
      </c>
      <c r="P60" s="8">
        <f t="shared" si="11"/>
        <v>132.62602142021714</v>
      </c>
      <c r="Q60" s="1"/>
      <c r="S60" s="9">
        <f>J60*'M2DU Measurement'!$C$8/60</f>
        <v>48.333333333333336</v>
      </c>
      <c r="T60" s="9">
        <f t="shared" si="12"/>
        <v>173.27050073072513</v>
      </c>
      <c r="U60" s="9">
        <f>'M2DU Measurement'!$G$7*(SQRT(1+((-'M2DU Measurement'!$G$9+T60)^2/'M2DU Measurement'!$G$10^2)))</f>
        <v>319.10852098407889</v>
      </c>
      <c r="V60" s="9">
        <f t="shared" si="6"/>
        <v>-159.55426049203945</v>
      </c>
      <c r="W60" s="9">
        <f t="shared" si="7"/>
        <v>159.55426049203945</v>
      </c>
      <c r="Y60" s="9">
        <f>'M2DU Measurement'!$G$7*(SQRT(1+((-'M2DU Measurement'!$G$9+T60)^2/$C$10^2)))</f>
        <v>150.13842031839437</v>
      </c>
      <c r="Z60">
        <f t="shared" si="13"/>
        <v>55</v>
      </c>
      <c r="AB60" s="25">
        <f t="shared" si="15"/>
        <v>39.887661676161386</v>
      </c>
      <c r="AC60" s="9">
        <f t="shared" si="14"/>
        <v>164.82482907355319</v>
      </c>
      <c r="AD60" s="9">
        <f>'M2DU Measurement'!$G$7*(SQRT(1+((-'M2DU Measurement'!$G$9+AC60)^2/'M2DU Measurement'!$G$10^2)))</f>
        <v>210.79662370282992</v>
      </c>
      <c r="AE60" s="9">
        <f>'M2DU Measurement'!$G$7*(SQRT(1+((-'M2DU Measurement'!$G$9+AC60)^2/$C$10^2)))</f>
        <v>110.25838431945562</v>
      </c>
    </row>
    <row r="61" spans="1:31" x14ac:dyDescent="0.35">
      <c r="A61" s="53"/>
      <c r="B61" s="6" t="s">
        <v>18</v>
      </c>
      <c r="C61" s="6" t="str">
        <f>IF('M2DU Measurement'!$C$7=B61,"WCD-IR-BB","")</f>
        <v/>
      </c>
      <c r="D61" s="7">
        <f>IF('M2DU Measurement'!$C$7=B61,170,0)</f>
        <v>0</v>
      </c>
      <c r="E61" s="7">
        <f>IF('M2DU Measurement'!$C$7=B61,F61*1000,0)</f>
        <v>0</v>
      </c>
      <c r="F61" s="17">
        <v>8.16</v>
      </c>
      <c r="G61" s="53">
        <f>IF('M2DU Measurement'!$C$7=B61,2000,0)</f>
        <v>0</v>
      </c>
      <c r="H61" s="53">
        <f>IF('M2DU Measurement'!$C$7=B61,16000,0)</f>
        <v>0</v>
      </c>
      <c r="I61" s="53">
        <f>IF('M2DU Measurement'!$C$7=B61,17+15.5,0)</f>
        <v>0</v>
      </c>
      <c r="J61" s="3">
        <v>59</v>
      </c>
      <c r="K61" s="8">
        <f>$K$2+('M2DU Measurement'!$C$8+'M2DU Measurement'!$G$23)*J61/60</f>
        <v>22.084380543376795</v>
      </c>
      <c r="L61" s="9">
        <f t="shared" si="9"/>
        <v>172.02154794076858</v>
      </c>
      <c r="M61" s="9">
        <f>L61-'M2DU Measurement'!$G$23</f>
        <v>47.084380543376795</v>
      </c>
      <c r="N61" s="30">
        <f>'M2DU Measurement'!$G$7*(SQRT(1+((-'M2DU Measurement'!$G$9+L61)^2/'M2DU Measurement'!$G$10^2)))</f>
        <v>302.89349621285561</v>
      </c>
      <c r="O61" s="8">
        <f t="shared" si="10"/>
        <v>-151.4467481064278</v>
      </c>
      <c r="P61" s="8">
        <f t="shared" si="11"/>
        <v>151.4467481064278</v>
      </c>
      <c r="Q61" s="1"/>
      <c r="S61" s="9">
        <f>J61*'M2DU Measurement'!$C$8/60</f>
        <v>49.166666666666664</v>
      </c>
      <c r="T61" s="9">
        <f t="shared" si="12"/>
        <v>174.10383406405845</v>
      </c>
      <c r="U61" s="9">
        <f>'M2DU Measurement'!$G$7*(SQRT(1+((-'M2DU Measurement'!$G$9+T61)^2/'M2DU Measurement'!$G$10^2)))</f>
        <v>329.95191756730929</v>
      </c>
      <c r="V61" s="9">
        <f t="shared" si="6"/>
        <v>-164.97595878365465</v>
      </c>
      <c r="W61" s="9">
        <f t="shared" si="7"/>
        <v>164.97595878365465</v>
      </c>
      <c r="Y61" s="9">
        <f>'M2DU Measurement'!$G$7*(SQRT(1+((-'M2DU Measurement'!$G$9+T61)^2/$C$10^2)))</f>
        <v>154.32094047329468</v>
      </c>
      <c r="Z61">
        <f t="shared" si="13"/>
        <v>55</v>
      </c>
      <c r="AB61" s="25">
        <f t="shared" si="15"/>
        <v>40.419363878881434</v>
      </c>
      <c r="AC61" s="9">
        <f t="shared" si="14"/>
        <v>165.35653127627322</v>
      </c>
      <c r="AD61" s="9">
        <f>'M2DU Measurement'!$G$7*(SQRT(1+((-'M2DU Measurement'!$G$9+AC61)^2/'M2DU Measurement'!$G$10^2)))</f>
        <v>217.48651278515146</v>
      </c>
      <c r="AE61" s="9">
        <f>'M2DU Measurement'!$G$7*(SQRT(1+((-'M2DU Measurement'!$G$9+AC61)^2/$C$10^2)))</f>
        <v>112.58469457116033</v>
      </c>
    </row>
    <row r="62" spans="1:31" x14ac:dyDescent="0.35">
      <c r="A62" s="53"/>
      <c r="B62" s="6" t="s">
        <v>19</v>
      </c>
      <c r="C62" s="6" t="str">
        <f>IF('M2DU Measurement'!$C$7=B62,"BMBR","")</f>
        <v/>
      </c>
      <c r="D62" s="7">
        <f>IF('M2DU Measurement'!$C$7=B62,2,0)</f>
        <v>0</v>
      </c>
      <c r="E62" s="7">
        <f>IF('M2DU Measurement'!$C$7=B62,F62*1000,0)</f>
        <v>0</v>
      </c>
      <c r="F62" s="17">
        <f>4*1.517</f>
        <v>6.0679999999999996</v>
      </c>
      <c r="G62" s="53">
        <f>IF('M2DU Measurement'!$C$7=B62,190,0)</f>
        <v>0</v>
      </c>
      <c r="H62" s="53">
        <f>IF('M2DU Measurement'!$C$7=B62,1150,0)</f>
        <v>0</v>
      </c>
      <c r="I62" s="53">
        <f>IF('M2DU Measurement'!$C$7=B62,27+3.5,0)</f>
        <v>0</v>
      </c>
      <c r="J62" s="3">
        <v>60</v>
      </c>
      <c r="K62" s="8">
        <f>$K$2+('M2DU Measurement'!$C$8+'M2DU Measurement'!$G$23)*J62/60</f>
        <v>25</v>
      </c>
      <c r="L62" s="9">
        <f t="shared" si="9"/>
        <v>174.93716739739179</v>
      </c>
      <c r="M62" s="9">
        <f>L62-'M2DU Measurement'!$G$23</f>
        <v>50</v>
      </c>
      <c r="N62" s="30">
        <f>'M2DU Measurement'!$G$7*(SQRT(1+((-'M2DU Measurement'!$G$9+L62)^2/'M2DU Measurement'!$G$10^2)))</f>
        <v>340.81261084231483</v>
      </c>
      <c r="O62" s="8">
        <f t="shared" si="10"/>
        <v>-170.40630542115741</v>
      </c>
      <c r="P62" s="8">
        <f t="shared" si="11"/>
        <v>170.40630542115741</v>
      </c>
      <c r="Q62" s="1"/>
      <c r="S62" s="9">
        <f>J62*'M2DU Measurement'!$C$8/60</f>
        <v>50</v>
      </c>
      <c r="T62" s="9">
        <f t="shared" si="12"/>
        <v>174.93716739739179</v>
      </c>
      <c r="U62" s="9">
        <f>'M2DU Measurement'!$G$7*(SQRT(1+((-'M2DU Measurement'!$G$9+T62)^2/'M2DU Measurement'!$G$10^2)))</f>
        <v>340.81261084231483</v>
      </c>
      <c r="V62" s="9">
        <f t="shared" si="6"/>
        <v>-170.40630542115741</v>
      </c>
      <c r="W62" s="9">
        <f t="shared" si="7"/>
        <v>170.40630542115741</v>
      </c>
      <c r="Y62" s="9">
        <f>'M2DU Measurement'!$G$7*(SQRT(1+((-'M2DU Measurement'!$G$9+T62)^2/$C$10^2)))</f>
        <v>158.53403749124735</v>
      </c>
      <c r="Z62">
        <f t="shared" si="13"/>
        <v>55</v>
      </c>
      <c r="AB62" s="25">
        <f>IF(AB71&gt;'M2DU Measurement'!C8,'M2DU Measurement'!C8,IF(AB71&lt;0,0,AB71))</f>
        <v>40.951066081601482</v>
      </c>
      <c r="AC62" s="9">
        <f t="shared" si="14"/>
        <v>165.88823347899327</v>
      </c>
      <c r="AD62" s="9">
        <f>'M2DU Measurement'!$G$7*(SQRT(1+((-'M2DU Measurement'!$G$9+AC62)^2/'M2DU Measurement'!$G$10^2)))</f>
        <v>224.20098591788684</v>
      </c>
      <c r="AE62" s="9">
        <f>'M2DU Measurement'!$G$7*(SQRT(1+((-'M2DU Measurement'!$G$9+AC62)^2/$C$10^2)))</f>
        <v>114.94305172284692</v>
      </c>
    </row>
    <row r="63" spans="1:31" x14ac:dyDescent="0.35">
      <c r="A63" s="53"/>
      <c r="B63" s="6" t="s">
        <v>20</v>
      </c>
      <c r="C63" s="6" t="str">
        <f>IF('M2DU Measurement'!$C$7=B63,"BMBR","")</f>
        <v/>
      </c>
      <c r="D63" s="7">
        <f>IF('M2DU Measurement'!$C$7=B63,2,0)</f>
        <v>0</v>
      </c>
      <c r="E63" s="7">
        <f>IF('M2DU Measurement'!$C$7=B63,F63*1000,0)</f>
        <v>0</v>
      </c>
      <c r="F63" s="17">
        <f>3*1.517</f>
        <v>4.5510000000000002</v>
      </c>
      <c r="G63" s="53">
        <f>IF('M2DU Measurement'!$C$7=B63,650,0)</f>
        <v>0</v>
      </c>
      <c r="H63" s="53">
        <f>IF('M2DU Measurement'!$C$7=B63,1800,0)</f>
        <v>0</v>
      </c>
      <c r="I63" s="53">
        <f>IF('M2DU Measurement'!$C$7=B63,27+3.5,0)</f>
        <v>0</v>
      </c>
      <c r="J63" s="53"/>
    </row>
    <row r="64" spans="1:31" x14ac:dyDescent="0.35">
      <c r="A64" s="53"/>
      <c r="B64" s="6" t="s">
        <v>121</v>
      </c>
      <c r="C64" s="6" t="str">
        <f>IF('M2DU Measurement'!$C$7=B64,"BMBR","")</f>
        <v/>
      </c>
      <c r="D64" s="7">
        <f>IF('M2DU Measurement'!$C$7=B64,2,0)</f>
        <v>0</v>
      </c>
      <c r="E64" s="7">
        <f>IF('M2DU Measurement'!$C$7=B64,F64*1000,0)</f>
        <v>0</v>
      </c>
      <c r="F64" s="17">
        <f>2*1.517</f>
        <v>3.0339999999999998</v>
      </c>
      <c r="G64" s="53">
        <f>IF('M2DU Measurement'!$C$7=B64,650,0)</f>
        <v>0</v>
      </c>
      <c r="H64" s="53">
        <f>IF('M2DU Measurement'!$C$7=B64,2300,0)</f>
        <v>0</v>
      </c>
      <c r="I64" s="53">
        <f>IF('M2DU Measurement'!$C$7=B64,27+3.5,0)</f>
        <v>0</v>
      </c>
      <c r="J64" s="53"/>
    </row>
    <row r="65" spans="1:28" x14ac:dyDescent="0.35">
      <c r="A65" s="53"/>
      <c r="B65" s="6" t="s">
        <v>119</v>
      </c>
      <c r="C65" s="6" t="str">
        <f>IF('M2DU Measurement'!$C$7=B65,"BMBR","")</f>
        <v/>
      </c>
      <c r="D65" s="7">
        <f>IF('M2DU Measurement'!$C$7=B65,2,0)</f>
        <v>0</v>
      </c>
      <c r="E65" s="7">
        <f>IF('M2DU Measurement'!$C$7=B65,F65*1000,0)</f>
        <v>0</v>
      </c>
      <c r="F65" s="17">
        <f>2*1.517</f>
        <v>3.0339999999999998</v>
      </c>
      <c r="G65" s="53">
        <f>IF('M2DU Measurement'!$C$7=B65,650,0)</f>
        <v>0</v>
      </c>
      <c r="H65" s="53">
        <f>IF('M2DU Measurement'!$C$7=B65,2500,0)</f>
        <v>0</v>
      </c>
      <c r="I65" s="53">
        <f>IF('M2DU Measurement'!$C$7=B65,27+3.5,0)</f>
        <v>0</v>
      </c>
      <c r="J65" s="53"/>
    </row>
    <row r="66" spans="1:28" x14ac:dyDescent="0.35">
      <c r="A66" s="53"/>
      <c r="B66" s="6" t="s">
        <v>123</v>
      </c>
      <c r="C66" s="6" t="str">
        <f>IF('M2DU Measurement'!$C$7=B66,"WCD","")</f>
        <v/>
      </c>
      <c r="D66" s="7">
        <f>IF('M2DU Measurement'!$C$7=B66,55,0)</f>
        <v>0</v>
      </c>
      <c r="E66" s="7">
        <f>IF('M2DU Measurement'!$C$7=B66,F66*1000,0)</f>
        <v>0</v>
      </c>
      <c r="F66" s="17">
        <v>11.3</v>
      </c>
      <c r="G66" s="53">
        <f>IF('M2DU Measurement'!$C$7=B66,1550,0)</f>
        <v>0</v>
      </c>
      <c r="H66" s="53">
        <f>IF('M2DU Measurement'!$C$7=B66,1550,0)</f>
        <v>0</v>
      </c>
      <c r="I66" s="53">
        <f>IF('M2DU Measurement'!$C$7=B66,36.5+7.5,0)</f>
        <v>0</v>
      </c>
      <c r="J66" s="53"/>
    </row>
    <row r="67" spans="1:28" x14ac:dyDescent="0.35">
      <c r="A67" s="53"/>
      <c r="B67" s="53"/>
      <c r="C67" s="17" t="str">
        <f>CONCATENATE(C55,C56,C57,C58,C59,C60,C61,C62,C63,C64,C65,C66)</f>
        <v>WCD</v>
      </c>
      <c r="D67" s="41">
        <f>MAX(D55:D66)</f>
        <v>55</v>
      </c>
      <c r="E67" s="41">
        <f>MAX(E55:E66)/1.517</f>
        <v>7448.9123269611082</v>
      </c>
      <c r="F67" s="17"/>
      <c r="G67" s="53">
        <f>SUM(G55:G66)</f>
        <v>190</v>
      </c>
      <c r="H67" s="53">
        <f>SUM(H55:H66)</f>
        <v>1350</v>
      </c>
      <c r="I67" s="53">
        <f>SUM(I55:I66)</f>
        <v>44</v>
      </c>
      <c r="J67" s="53"/>
      <c r="AB67" s="27" t="s">
        <v>68</v>
      </c>
    </row>
    <row r="68" spans="1:28" x14ac:dyDescent="0.35">
      <c r="A68" s="53"/>
      <c r="B68" s="53"/>
      <c r="C68" s="53"/>
      <c r="D68" s="53"/>
      <c r="E68" s="53"/>
      <c r="F68" s="53"/>
      <c r="G68" s="53"/>
      <c r="H68" s="53"/>
      <c r="I68" s="53"/>
      <c r="J68" s="53"/>
      <c r="AB68" s="28">
        <f>(C18*'M2DU Measurement'!G10-$K$2-'M2DU Measurement'!G23)</f>
        <v>9.048933918398518</v>
      </c>
    </row>
    <row r="69" spans="1:28" x14ac:dyDescent="0.35">
      <c r="A69" s="53"/>
      <c r="B69" s="53"/>
      <c r="C69" s="53"/>
      <c r="D69" s="53"/>
      <c r="E69" s="53"/>
      <c r="F69" s="53"/>
      <c r="G69" s="53"/>
      <c r="H69" s="53"/>
      <c r="I69" s="53"/>
      <c r="J69" s="53"/>
    </row>
    <row r="70" spans="1:28" x14ac:dyDescent="0.35">
      <c r="A70" s="53"/>
      <c r="B70" s="17"/>
      <c r="C70" s="53"/>
      <c r="D70" s="53"/>
      <c r="E70" s="53"/>
      <c r="F70" s="53"/>
      <c r="G70" s="53"/>
      <c r="H70" s="53"/>
      <c r="I70" s="53"/>
      <c r="J70" s="53"/>
      <c r="AB70" s="27" t="s">
        <v>69</v>
      </c>
    </row>
    <row r="71" spans="1:28" x14ac:dyDescent="0.35">
      <c r="A71" s="53"/>
      <c r="B71" s="57" t="s">
        <v>67</v>
      </c>
      <c r="C71" s="53" t="str">
        <f>IF('M2DU Measurement'!G12&gt;25,"-"&amp;'M2DU Measurement'!G12,"")</f>
        <v/>
      </c>
      <c r="D71" s="53"/>
      <c r="E71" s="53"/>
      <c r="F71" s="53"/>
      <c r="G71" s="53"/>
      <c r="H71" s="53"/>
      <c r="I71" s="53"/>
      <c r="AB71" s="28">
        <f>(C19*'M2DU Measurement'!G10-$K$2-'M2DU Measurement'!G23)</f>
        <v>40.951066081601482</v>
      </c>
    </row>
    <row r="72" spans="1:28" x14ac:dyDescent="0.35">
      <c r="A72" s="53"/>
      <c r="B72" s="57" t="s">
        <v>70</v>
      </c>
      <c r="C72" s="53"/>
      <c r="D72" s="53"/>
      <c r="E72" s="54" t="s">
        <v>60</v>
      </c>
      <c r="F72" s="54" t="s">
        <v>61</v>
      </c>
      <c r="G72" s="54" t="s">
        <v>64</v>
      </c>
      <c r="H72" s="54" t="s">
        <v>62</v>
      </c>
      <c r="I72" s="54" t="s">
        <v>63</v>
      </c>
      <c r="J72" s="54" t="s">
        <v>65</v>
      </c>
      <c r="K72" s="59" t="s">
        <v>82</v>
      </c>
      <c r="L72" s="54" t="s">
        <v>86</v>
      </c>
      <c r="M72" s="54" t="s">
        <v>87</v>
      </c>
      <c r="N72" s="54" t="s">
        <v>88</v>
      </c>
      <c r="O72" s="54" t="s">
        <v>89</v>
      </c>
      <c r="P72" s="54" t="s">
        <v>90</v>
      </c>
      <c r="Q72" s="54" t="s">
        <v>91</v>
      </c>
      <c r="R72" s="59" t="s">
        <v>82</v>
      </c>
    </row>
    <row r="73" spans="1:28" x14ac:dyDescent="0.35">
      <c r="A73" s="53"/>
      <c r="B73" s="53"/>
      <c r="C73" s="53"/>
      <c r="D73" s="53"/>
      <c r="E73" s="54" t="str">
        <f t="shared" ref="E73:Q73" si="16">$C$82</f>
        <v>Custom</v>
      </c>
      <c r="F73" s="54" t="str">
        <f t="shared" si="16"/>
        <v>Custom</v>
      </c>
      <c r="G73" s="54" t="str">
        <f t="shared" si="16"/>
        <v>Custom</v>
      </c>
      <c r="H73" s="54" t="str">
        <f t="shared" si="16"/>
        <v>Custom</v>
      </c>
      <c r="I73" s="54" t="str">
        <f t="shared" si="16"/>
        <v>Custom</v>
      </c>
      <c r="J73" s="54" t="str">
        <f t="shared" si="16"/>
        <v>Custom</v>
      </c>
      <c r="K73" t="s">
        <v>77</v>
      </c>
      <c r="L73" s="54" t="str">
        <f t="shared" si="16"/>
        <v>Custom</v>
      </c>
      <c r="M73" s="54" t="str">
        <f t="shared" si="16"/>
        <v>Custom</v>
      </c>
      <c r="N73" s="54" t="str">
        <f t="shared" si="16"/>
        <v>Custom</v>
      </c>
      <c r="O73" s="54" t="str">
        <f t="shared" si="16"/>
        <v>Custom</v>
      </c>
      <c r="P73" s="54" t="str">
        <f t="shared" si="16"/>
        <v>Custom</v>
      </c>
      <c r="Q73" s="54" t="str">
        <f t="shared" si="16"/>
        <v>Custom</v>
      </c>
      <c r="R73" s="59" t="str">
        <f>C82</f>
        <v>Custom</v>
      </c>
    </row>
    <row r="74" spans="1:28" x14ac:dyDescent="0.35">
      <c r="A74" s="53"/>
      <c r="B74" s="53"/>
      <c r="C74" s="53"/>
      <c r="D74" s="53"/>
      <c r="E74" s="54">
        <f t="shared" ref="E74:J74" si="17">IF($C$71="-50",$C$83,50)</f>
        <v>50</v>
      </c>
      <c r="F74" s="54">
        <f t="shared" si="17"/>
        <v>50</v>
      </c>
      <c r="G74" s="54">
        <f t="shared" si="17"/>
        <v>50</v>
      </c>
      <c r="H74" s="54">
        <f t="shared" si="17"/>
        <v>50</v>
      </c>
      <c r="I74" s="54">
        <f t="shared" si="17"/>
        <v>50</v>
      </c>
      <c r="J74" s="54">
        <f t="shared" si="17"/>
        <v>50</v>
      </c>
      <c r="L74" s="54">
        <v>75</v>
      </c>
      <c r="M74" s="54">
        <v>75</v>
      </c>
      <c r="N74" s="54">
        <v>75</v>
      </c>
      <c r="O74" s="54">
        <v>75</v>
      </c>
    </row>
    <row r="75" spans="1:28" x14ac:dyDescent="0.35">
      <c r="A75" s="53"/>
      <c r="B75" s="53"/>
      <c r="C75" s="53"/>
      <c r="D75" s="53"/>
      <c r="E75" s="54">
        <v>75</v>
      </c>
      <c r="F75" s="54">
        <v>75</v>
      </c>
      <c r="G75" s="54">
        <v>75</v>
      </c>
      <c r="H75" s="54">
        <v>75</v>
      </c>
      <c r="I75" s="54">
        <f>IF($C$71="-50",$C$83,75)</f>
        <v>75</v>
      </c>
      <c r="J75" s="54">
        <f>IF($C$71="-50",$C$83,75)</f>
        <v>75</v>
      </c>
      <c r="L75" s="54">
        <v>100</v>
      </c>
      <c r="M75" s="54">
        <v>100</v>
      </c>
      <c r="N75" s="54">
        <v>100</v>
      </c>
      <c r="O75" s="54">
        <v>100</v>
      </c>
    </row>
    <row r="76" spans="1:28" x14ac:dyDescent="0.35">
      <c r="A76" s="53"/>
      <c r="B76" s="53"/>
      <c r="C76" s="53"/>
      <c r="D76" s="53"/>
      <c r="E76" s="54">
        <v>100</v>
      </c>
      <c r="F76" s="54">
        <v>100</v>
      </c>
      <c r="G76" s="54">
        <v>100</v>
      </c>
      <c r="H76" s="54">
        <v>100</v>
      </c>
      <c r="I76" s="54">
        <f>IF($C$71="-50",$C$83,100)</f>
        <v>100</v>
      </c>
      <c r="J76" s="54">
        <f>IF($C$71="-50",$C$83,100)</f>
        <v>100</v>
      </c>
      <c r="L76" s="54">
        <v>150</v>
      </c>
      <c r="M76" s="54">
        <v>150</v>
      </c>
      <c r="N76" s="54">
        <v>150</v>
      </c>
      <c r="O76" s="54">
        <v>150</v>
      </c>
    </row>
    <row r="77" spans="1:28" x14ac:dyDescent="0.35">
      <c r="A77" s="53"/>
      <c r="B77" s="53"/>
      <c r="C77" s="53"/>
      <c r="D77" s="53"/>
      <c r="E77" s="54">
        <v>150</v>
      </c>
      <c r="F77" s="54">
        <v>150</v>
      </c>
      <c r="G77" s="54">
        <v>150</v>
      </c>
      <c r="H77" s="54">
        <v>150</v>
      </c>
      <c r="I77" s="54">
        <f>IF($C$71="-50",$C$83,150)</f>
        <v>150</v>
      </c>
      <c r="J77" s="54">
        <f>IF($C$71="-50",$C$83,150)</f>
        <v>150</v>
      </c>
      <c r="L77" s="54">
        <v>200</v>
      </c>
      <c r="M77" s="54">
        <v>200</v>
      </c>
      <c r="N77" s="54">
        <v>200</v>
      </c>
      <c r="O77" s="54">
        <v>200</v>
      </c>
    </row>
    <row r="78" spans="1:28" x14ac:dyDescent="0.35">
      <c r="A78" s="53"/>
      <c r="B78" s="53"/>
      <c r="C78" s="53"/>
      <c r="D78" s="53"/>
      <c r="E78" s="54">
        <v>200</v>
      </c>
      <c r="F78" s="54">
        <v>200</v>
      </c>
      <c r="G78" s="54">
        <v>200</v>
      </c>
      <c r="H78" s="54">
        <v>200</v>
      </c>
      <c r="I78" s="54">
        <f>IF($C$71="-50",$C$83,200)</f>
        <v>200</v>
      </c>
      <c r="J78" s="54">
        <f>IF($C$71="-50",$C$83,200)</f>
        <v>200</v>
      </c>
      <c r="L78" s="54">
        <v>250</v>
      </c>
      <c r="M78" s="54">
        <v>250</v>
      </c>
      <c r="N78" s="54">
        <v>250</v>
      </c>
      <c r="O78" s="54">
        <v>250</v>
      </c>
    </row>
    <row r="79" spans="1:28" x14ac:dyDescent="0.35">
      <c r="A79" s="53"/>
      <c r="B79" s="53"/>
      <c r="C79" s="53"/>
      <c r="D79" s="53"/>
      <c r="E79" s="54">
        <v>250</v>
      </c>
      <c r="F79" s="54">
        <v>250</v>
      </c>
      <c r="G79" s="54">
        <v>250</v>
      </c>
      <c r="H79" s="54">
        <v>250</v>
      </c>
      <c r="I79" s="54">
        <f>IF($C$71="-50",$C$83,250)</f>
        <v>250</v>
      </c>
      <c r="J79" s="54">
        <f>IF($C$71="-50",$C$83,500)</f>
        <v>500</v>
      </c>
      <c r="L79" s="54">
        <v>300</v>
      </c>
      <c r="M79" s="54">
        <v>300</v>
      </c>
      <c r="N79" s="54">
        <v>300</v>
      </c>
      <c r="O79" s="54">
        <v>300</v>
      </c>
    </row>
    <row r="80" spans="1:28" x14ac:dyDescent="0.35">
      <c r="A80" s="53"/>
      <c r="B80" s="53"/>
      <c r="C80" s="53"/>
      <c r="D80" s="53"/>
      <c r="E80" s="54">
        <v>300</v>
      </c>
      <c r="F80" s="54">
        <v>300</v>
      </c>
      <c r="G80" s="54">
        <v>300</v>
      </c>
      <c r="H80" s="54">
        <v>300</v>
      </c>
      <c r="I80" s="54">
        <f>IF($C$71="-50",$C$83,500)</f>
        <v>500</v>
      </c>
      <c r="J80" s="54">
        <f>IF($C$71="-50",$C$83,750)</f>
        <v>750</v>
      </c>
      <c r="L80" s="54">
        <v>500</v>
      </c>
      <c r="M80" s="54">
        <v>400</v>
      </c>
      <c r="N80" s="54">
        <v>400</v>
      </c>
      <c r="O80" s="54">
        <v>400</v>
      </c>
    </row>
    <row r="81" spans="1:15" x14ac:dyDescent="0.35">
      <c r="A81" s="53"/>
      <c r="B81" s="53"/>
      <c r="C81" s="53"/>
      <c r="D81" s="53"/>
      <c r="E81" s="54">
        <v>500</v>
      </c>
      <c r="F81" s="54">
        <v>400</v>
      </c>
      <c r="G81" s="54">
        <v>400</v>
      </c>
      <c r="H81" s="54">
        <v>400</v>
      </c>
      <c r="I81" s="54">
        <f>IF($C$71="-50",$C$83,750)</f>
        <v>750</v>
      </c>
      <c r="J81" s="54">
        <f>IF($C$71="-50",$C$83,1000)</f>
        <v>1000</v>
      </c>
      <c r="L81" s="54">
        <v>750</v>
      </c>
      <c r="M81" s="54">
        <v>500</v>
      </c>
      <c r="N81" s="54">
        <v>500</v>
      </c>
      <c r="O81" s="54">
        <v>500</v>
      </c>
    </row>
    <row r="82" spans="1:15" x14ac:dyDescent="0.35">
      <c r="A82" s="53"/>
      <c r="B82" s="53"/>
      <c r="C82" s="53" t="s">
        <v>77</v>
      </c>
      <c r="D82" s="53"/>
      <c r="E82" s="54">
        <v>750</v>
      </c>
      <c r="F82" s="54">
        <v>500</v>
      </c>
      <c r="G82" s="54">
        <v>500</v>
      </c>
      <c r="H82" s="54">
        <v>500</v>
      </c>
      <c r="I82" s="54">
        <f>IF($C$71="-50",$C$83,1000)</f>
        <v>1000</v>
      </c>
      <c r="J82" s="54"/>
      <c r="L82" s="54">
        <v>1000</v>
      </c>
      <c r="M82" s="54">
        <v>750</v>
      </c>
      <c r="N82" s="54">
        <v>750</v>
      </c>
      <c r="O82" s="54">
        <v>750</v>
      </c>
    </row>
    <row r="83" spans="1:15" x14ac:dyDescent="0.35">
      <c r="A83" s="53"/>
      <c r="B83" s="53"/>
      <c r="C83" s="53" t="s">
        <v>77</v>
      </c>
      <c r="D83" s="53"/>
      <c r="E83" s="54">
        <v>1000</v>
      </c>
      <c r="F83" s="54"/>
      <c r="G83" s="54"/>
      <c r="H83" s="54"/>
      <c r="I83" s="54"/>
      <c r="J83" s="54"/>
      <c r="M83" s="54">
        <v>1000</v>
      </c>
      <c r="N83" s="54">
        <v>1000</v>
      </c>
      <c r="O83" s="54">
        <v>1000</v>
      </c>
    </row>
    <row r="84" spans="1:15" x14ac:dyDescent="0.35">
      <c r="A84" s="53"/>
      <c r="B84" s="53"/>
      <c r="C84" s="53"/>
      <c r="D84" s="53"/>
      <c r="E84" s="54"/>
      <c r="F84" s="54"/>
      <c r="G84" s="54"/>
      <c r="H84" s="54"/>
      <c r="I84" s="54"/>
    </row>
    <row r="85" spans="1:15" x14ac:dyDescent="0.35">
      <c r="A85" s="53"/>
      <c r="B85" s="53"/>
      <c r="C85" s="53"/>
      <c r="D85" s="53"/>
      <c r="E85" s="53"/>
      <c r="F85" s="53"/>
      <c r="G85" s="53"/>
      <c r="H85" s="53"/>
      <c r="I85" s="53"/>
    </row>
    <row r="87" spans="1:15" x14ac:dyDescent="0.35">
      <c r="B87" s="53" t="s">
        <v>59</v>
      </c>
      <c r="C87" s="53"/>
      <c r="D87" s="53"/>
      <c r="E87" s="53"/>
      <c r="F87" s="53" t="s">
        <v>81</v>
      </c>
      <c r="G87" s="53" t="s">
        <v>80</v>
      </c>
    </row>
    <row r="88" spans="1:15" x14ac:dyDescent="0.35">
      <c r="B88" s="53" t="s">
        <v>60</v>
      </c>
      <c r="C88" s="53">
        <v>190</v>
      </c>
      <c r="D88" s="53">
        <v>400</v>
      </c>
      <c r="E88" s="53" t="str">
        <f>IF(AND('M2DU Measurement'!$C$3&gt;=Sheet2!C88,'M2DU Measurement'!$C$3&lt;Sheet2!D88),Sheet2!B88,"")</f>
        <v/>
      </c>
      <c r="F88" s="53"/>
      <c r="G88" s="53">
        <f>IF($C$71="-50",10,11)</f>
        <v>11</v>
      </c>
    </row>
    <row r="89" spans="1:15" x14ac:dyDescent="0.35">
      <c r="B89" s="53" t="s">
        <v>61</v>
      </c>
      <c r="C89" s="53">
        <v>400</v>
      </c>
      <c r="D89" s="53">
        <v>800</v>
      </c>
      <c r="E89" s="53" t="str">
        <f>IF(AND('M2DU Measurement'!$C$3&gt;=Sheet2!C89,'M2DU Measurement'!$C$3&lt;Sheet2!D89),Sheet2!B89,"")</f>
        <v>VIS</v>
      </c>
      <c r="F89" s="53"/>
      <c r="G89" s="53">
        <f>IF($C$71="-50",11,10)</f>
        <v>10</v>
      </c>
    </row>
    <row r="90" spans="1:15" x14ac:dyDescent="0.35">
      <c r="B90" s="53" t="s">
        <v>64</v>
      </c>
      <c r="C90" s="53">
        <v>800</v>
      </c>
      <c r="D90" s="53">
        <v>1050</v>
      </c>
      <c r="E90" s="53" t="str">
        <f>IF(AND('M2DU Measurement'!$C$3&gt;=Sheet2!C90,'M2DU Measurement'!$C$3&lt;Sheet2!D90),Sheet2!B90,"")</f>
        <v/>
      </c>
      <c r="F90" s="53"/>
      <c r="G90" s="53">
        <f>IF($C$71="-50",11,10)</f>
        <v>10</v>
      </c>
    </row>
    <row r="91" spans="1:15" x14ac:dyDescent="0.35">
      <c r="B91" s="53" t="s">
        <v>62</v>
      </c>
      <c r="C91" s="53">
        <v>1050</v>
      </c>
      <c r="D91" s="53">
        <v>1620</v>
      </c>
      <c r="E91" s="53" t="str">
        <f>IF(AND('M2DU Measurement'!$C$3&gt;=Sheet2!C91,'M2DU Measurement'!$C$3&lt;Sheet2!D91),Sheet2!B91,"")</f>
        <v/>
      </c>
      <c r="F91" s="53"/>
      <c r="G91" s="53">
        <f>IF($C$71="-50",11,10)</f>
        <v>10</v>
      </c>
    </row>
    <row r="92" spans="1:15" x14ac:dyDescent="0.35">
      <c r="B92" s="53" t="s">
        <v>63</v>
      </c>
      <c r="C92" s="53">
        <v>1620</v>
      </c>
      <c r="D92" s="53">
        <v>8000</v>
      </c>
      <c r="E92" s="53" t="str">
        <f>IF(AND('M2DU Measurement'!$C$3&gt;=Sheet2!C92,'M2DU Measurement'!$C$3&lt;Sheet2!D92),Sheet2!B92,"")</f>
        <v/>
      </c>
      <c r="F92" s="53"/>
      <c r="G92" s="53">
        <f>IF($C$71="-50",1,10)</f>
        <v>10</v>
      </c>
    </row>
    <row r="93" spans="1:15" x14ac:dyDescent="0.35">
      <c r="B93" s="53" t="s">
        <v>83</v>
      </c>
      <c r="C93" s="53">
        <v>8000</v>
      </c>
      <c r="D93" s="53">
        <v>12001</v>
      </c>
      <c r="E93" s="53" t="str">
        <f>IF(AND('M2DU Measurement'!$C$3&gt;=Sheet2!C93,'M2DU Measurement'!$C$3&lt;Sheet2!D93),Sheet2!B93,"")</f>
        <v/>
      </c>
      <c r="F93" s="53"/>
      <c r="G93" s="53">
        <f>IF($C$71="-50",1,9)</f>
        <v>9</v>
      </c>
    </row>
    <row r="94" spans="1:15" x14ac:dyDescent="0.35">
      <c r="B94" s="58" t="s">
        <v>82</v>
      </c>
      <c r="C94" s="53"/>
      <c r="D94" s="53"/>
      <c r="E94" s="53" t="str">
        <f>IF(COUNTBLANK(E88:E93)=6,"CUSTOM","")</f>
        <v/>
      </c>
      <c r="F94" s="53"/>
      <c r="G94" s="58">
        <v>1</v>
      </c>
    </row>
    <row r="95" spans="1:15" x14ac:dyDescent="0.35">
      <c r="B95" s="53"/>
      <c r="C95" s="53"/>
      <c r="D95" s="53"/>
      <c r="E95" s="53" t="str">
        <f>CONCATENATE(E88,E89,E90,E91,E92,E93,E94)</f>
        <v>VIS</v>
      </c>
      <c r="F95">
        <f>IF(E95=B88,0,IF(E95=B89,1,IF(E95=B90,2,IF(E95=B91,3,IF(E95=B92,4,IF(E95=B93,5,IF(E95=B94,6)))))))</f>
        <v>1</v>
      </c>
      <c r="G95" s="53">
        <f>IF(E95=B88,G88,IF(E95=B89,G89,IF(E95=B90,G90,IF(E95=B91,G91,IF(E95=B92,G92,IF(E95=B93,G93,IF(E95=B94,G94)))))))</f>
        <v>10</v>
      </c>
    </row>
    <row r="96" spans="1:15" x14ac:dyDescent="0.35">
      <c r="F96" s="53">
        <f>IF(C71="-50",F95+7,F95)</f>
        <v>1</v>
      </c>
    </row>
    <row r="97" spans="7:8" x14ac:dyDescent="0.35">
      <c r="G97" t="s">
        <v>84</v>
      </c>
      <c r="H97" t="s">
        <v>85</v>
      </c>
    </row>
    <row r="98" spans="7:8" x14ac:dyDescent="0.35">
      <c r="G98">
        <f ca="1">MATCH('M2DU Measurement'!C11,OFFSET(Sheet2!$E$73,0,Sheet2!$F$96,Sheet2!$G$95,1),0)</f>
        <v>5</v>
      </c>
      <c r="H98" t="e">
        <f ca="1">MATCH('M2DU Measurement'!C13,OFFSET(Sheet2!$E$73,0,Sheet2!$F$96,Sheet2!$G$95,1),0)</f>
        <v>#N/A</v>
      </c>
    </row>
  </sheetData>
  <sheetProtection sheet="1" objects="1" scenarios="1"/>
  <mergeCells count="3">
    <mergeCell ref="O1:P1"/>
    <mergeCell ref="V1:W1"/>
    <mergeCell ref="AG1:AI11"/>
  </mergeCells>
  <conditionalFormatting sqref="J15 F2:I2">
    <cfRule type="expression" priority="14">
      <formula>$D$18&gt;$C$18</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M2DU Measurement</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 Jones</dc:creator>
  <cp:lastModifiedBy>Loren Jones</cp:lastModifiedBy>
  <dcterms:created xsi:type="dcterms:W3CDTF">2018-10-24T17:37:47Z</dcterms:created>
  <dcterms:modified xsi:type="dcterms:W3CDTF">2020-01-23T22:11:03Z</dcterms:modified>
</cp:coreProperties>
</file>